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1.xml" ContentType="application/vnd.openxmlformats-officedocument.drawingml.chart+xml"/>
  <Override PartName="/xl/charts/chart2.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HP\Desktop\Sheharyar_Shahid\Templates\Final Template For Publishing\Ready for Publishing\"/>
    </mc:Choice>
  </mc:AlternateContent>
  <xr:revisionPtr revIDLastSave="0" documentId="13_ncr:1_{A5192D94-555D-4D0B-977E-6E82801946C7}" xr6:coauthVersionLast="47" xr6:coauthVersionMax="47" xr10:uidLastSave="{00000000-0000-0000-0000-000000000000}"/>
  <bookViews>
    <workbookView xWindow="-110" yWindow="-110" windowWidth="19420" windowHeight="11620" xr2:uid="{00000000-000D-0000-FFFF-FFFF00000000}"/>
  </bookViews>
  <sheets>
    <sheet name="Settings &amp; Guide" sheetId="1" r:id="rId1"/>
    <sheet name="Main Calculator" sheetId="2" r:id="rId2"/>
    <sheet name="About" sheetId="3" r:id="rId3"/>
  </sheets>
  <definedNames>
    <definedName name="AngleOptions">'Settings &amp; Guide'!$E$68:$E$69</definedName>
    <definedName name="_xlnm.Print_Area" localSheetId="1">'Main Calculator'!$A$1:$K$71</definedName>
    <definedName name="_xlnm.Print_Area" localSheetId="0">'Settings &amp; Guide'!$A$1:$J$76</definedName>
    <definedName name="RoundingOptions">'Settings &amp; Guide'!$B$68:$B$70</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 i="2" l="1"/>
  <c r="D50" i="2"/>
  <c r="I20" i="1"/>
  <c r="C77" i="2"/>
  <c r="C37" i="2" s="1"/>
  <c r="C76" i="2"/>
  <c r="O13" i="2"/>
  <c r="O12" i="2"/>
  <c r="O11" i="2"/>
  <c r="O10" i="2"/>
  <c r="N10" i="2"/>
  <c r="M10" i="2"/>
  <c r="O9" i="2"/>
  <c r="N9" i="2"/>
  <c r="M9" i="2"/>
  <c r="C70" i="2"/>
  <c r="C32" i="2" s="1"/>
  <c r="C69" i="2"/>
  <c r="C31" i="2" s="1"/>
  <c r="F62" i="2"/>
  <c r="E62" i="2"/>
  <c r="F61" i="2"/>
  <c r="E61" i="2"/>
  <c r="F60" i="2"/>
  <c r="E60" i="2"/>
  <c r="F59" i="2"/>
  <c r="E59" i="2"/>
  <c r="F58" i="2"/>
  <c r="E58" i="2"/>
  <c r="D48" i="2"/>
  <c r="D47" i="2"/>
  <c r="J40" i="2"/>
  <c r="G47" i="2"/>
  <c r="J39" i="2"/>
  <c r="J38" i="2"/>
  <c r="J37" i="2"/>
  <c r="I60" i="2" l="1"/>
  <c r="J61" i="2"/>
  <c r="H80" i="2"/>
  <c r="H69" i="2"/>
  <c r="J58" i="2"/>
  <c r="H81" i="2"/>
  <c r="G60" i="2"/>
  <c r="P11" i="2" s="1"/>
  <c r="I62" i="2"/>
  <c r="C75" i="2"/>
  <c r="C35" i="2" s="1"/>
  <c r="J59" i="2"/>
  <c r="G58" i="2"/>
  <c r="P9" i="2" s="1"/>
  <c r="G61" i="2"/>
  <c r="P12" i="2" s="1"/>
  <c r="I58" i="2"/>
  <c r="J62" i="2"/>
  <c r="G62" i="2"/>
  <c r="P13" i="2" s="1"/>
  <c r="G59" i="2"/>
  <c r="P10" i="2" s="1"/>
  <c r="I59" i="2"/>
  <c r="C36" i="2"/>
  <c r="J60" i="2"/>
  <c r="H59" i="2"/>
  <c r="H61" i="2"/>
  <c r="I61" i="2"/>
  <c r="C71" i="2"/>
  <c r="H70" i="2"/>
  <c r="H71" i="2"/>
  <c r="H58" i="2"/>
  <c r="H60" i="2"/>
  <c r="H62" i="2"/>
  <c r="C81" i="2" l="1"/>
  <c r="C40" i="2" s="1"/>
  <c r="C82" i="2"/>
  <c r="C41" i="2" s="1"/>
  <c r="I47" i="2"/>
  <c r="I28" i="1"/>
  <c r="C72" i="2"/>
  <c r="C73" i="2" s="1"/>
  <c r="C74" i="2" s="1"/>
  <c r="C42" i="2"/>
  <c r="H74" i="2"/>
  <c r="H72" i="2"/>
  <c r="H73" i="2" s="1"/>
  <c r="H82" i="2"/>
  <c r="I48" i="2"/>
  <c r="I46" i="2" l="1"/>
  <c r="C33" i="2"/>
  <c r="J31" i="2"/>
  <c r="I29" i="1"/>
  <c r="C83" i="2"/>
  <c r="I51" i="2" s="1"/>
  <c r="B12" i="2"/>
  <c r="H75" i="2"/>
  <c r="H76" i="2"/>
  <c r="H77" i="2"/>
  <c r="C34" i="2"/>
  <c r="I49" i="2"/>
  <c r="C80" i="2"/>
  <c r="I50" i="2" s="1"/>
  <c r="C78" i="2"/>
  <c r="C38" i="2" l="1"/>
  <c r="C50" i="2"/>
  <c r="C79" i="2"/>
  <c r="C39" i="2" s="1"/>
  <c r="J30" i="2"/>
  <c r="C49" i="2"/>
  <c r="H79" i="2"/>
  <c r="I27" i="1" s="1"/>
  <c r="H78" i="2"/>
  <c r="J32" i="2"/>
  <c r="H83" i="2" l="1"/>
  <c r="I25" i="1" s="1"/>
  <c r="I26" i="1"/>
  <c r="B1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tc={01556C5A-E963-4E43-B67C-D7EED379D9ED}</author>
    <author>tc={6EEEC16F-1ECC-4208-A3F4-4865F6FCB9B8}</author>
    <author>tc={32033429-A489-40FB-B827-045ACB35C2F1}</author>
    <author>tc={9FB4B444-C7BA-4006-AB56-4B0BC595FF8F}</author>
    <author>tc={205FAA57-9FF1-4958-8AE3-FF273863A1FB}</author>
    <author>tc={0D7CD3D6-BBA1-49E0-AE85-63F919836A83}</author>
    <author>tc={68EDD2F4-86D0-4E07-BB93-8496ABD9ABF6}</author>
    <author>tc={21DB0C16-AB02-4617-B648-748495BF6ACF}</author>
    <author>tc={ABAEA8E9-CFE9-4523-A8EA-C4C3E3194F00}</author>
    <author>tc={77537308-64C0-4CE4-9C69-6410E95361F1}</author>
    <author>tc={EC6B2A2C-136C-4488-B14B-0FE80D250B6B}</author>
    <author>tc={1C6EE342-EEC8-4EF2-8A6A-B6675D011A35}</author>
  </authors>
  <commentList>
    <comment ref="B5" authorId="0" shapeId="0" xr:uid="{01556C5A-E963-4E43-B67C-D7EED379D9ED}">
      <text>
        <t>[Threaded comment]
Your version of Excel allows you to read this threaded comment; however, any edits to it will get removed if the file is opened in a newer version of Excel. Learn more: https://go.microsoft.com/fwlink/?linkid=870924
Comment:
    Section intro: explains the workbook's purpose — calculating slope, angle, distance, midpoint, intercepts, equation forms, grade, and scenario comparisons for two points.</t>
      </text>
    </comment>
    <comment ref="B13" authorId="1" shapeId="0" xr:uid="{6EEEC16F-1ECC-4208-A3F4-4865F6FCB9B8}">
      <text>
        <t>[Threaded comment]
Your version of Excel allows you to read this threaded comment; however, any edits to it will get removed if the file is opened in a newer version of Excel. Learn more: https://go.microsoft.com/fwlink/?linkid=870924
Comment:
    Section: Quick Start — step-by-step guide (rows 15-20) for using the calculator, from checking output settings to comparing scenarios.</t>
      </text>
    </comment>
    <comment ref="G13" authorId="2" shapeId="0" xr:uid="{32033429-A489-40FB-B827-045ACB35C2F1}">
      <text>
        <t>[Threaded comment]
Your version of Excel allows you to read this threaded comment; however, any edits to it will get removed if the file is opened in a newer version of Excel. Learn more: https://go.microsoft.com/fwlink/?linkid=870924
Comment:
    Section: Calculator Configuration — the input settings below (rows 15-20) control precision, rounding, angle convention, unit, and validation tolerance used across the workbook.</t>
      </text>
    </comment>
    <comment ref="B23" authorId="3" shapeId="0" xr:uid="{9FB4B444-C7BA-4006-AB56-4B0BC595FF8F}">
      <text>
        <t>[Threaded comment]
Your version of Excel allows you to read this threaded comment; however, any edits to it will get removed if the file is opened in a newer version of Excel. Learn more: https://go.microsoft.com/fwlink/?linkid=870924
Comment:
    Section: Input/Formula/Status Legend — defines the color-coding used throughout the workbook (yellow = input, white = formula, statuses below).</t>
      </text>
    </comment>
    <comment ref="G23" authorId="4" shapeId="0" xr:uid="{205FAA57-9FF1-4958-8AE3-FF273863A1FB}">
      <text>
        <t>[Threaded comment]
Your version of Excel allows you to read this threaded comment; however, any edits to it will get removed if the file is opened in a newer version of Excel. Learn more: https://go.microsoft.com/fwlink/?linkid=870924
Comment:
    Section: Workbook QA Status — automated checks below (rows 25-29) validate the slope/point calculations for consistency and flag PASS/REVIEW/INVALID states.</t>
      </text>
    </comment>
    <comment ref="B33" authorId="5" shapeId="0" xr:uid="{0D7CD3D6-BBA1-49E0-AE85-63F919836A83}">
      <text>
        <t>[Threaded comment]
Your version of Excel allows you to read this threaded comment; however, any edits to it will get removed if the file is opened in a newer version of Excel. Learn more: https://go.microsoft.com/fwlink/?linkid=870924
Comment:
    Section: Formula &amp; Method Reference — lists the exact formula used for each metric (Run, Rise, Slope, Angle, Distance) in the table below.</t>
      </text>
    </comment>
    <comment ref="G33" authorId="6" shapeId="0" xr:uid="{68EDD2F4-86D0-4E07-BB93-8496ABD9ABF6}">
      <text>
        <t>[Threaded comment]
Your version of Excel allows you to read this threaded comment; however, any edits to it will get removed if the file is opened in a newer version of Excel. Learn more: https://go.microsoft.com/fwlink/?linkid=870924
Comment:
    Section: Notes/Interpretation — explains how to interpret each metric's result and any special mathematical cases (e.g., vertical/horizontal lines).</t>
      </text>
    </comment>
    <comment ref="B48" authorId="7" shapeId="0" xr:uid="{21DB0C16-AB02-4617-B648-748495BF6ACF}">
      <text>
        <t>[Threaded comment]
Your version of Excel allows you to read this threaded comment; however, any edits to it will get removed if the file is opened in a newer version of Excel. Learn more: https://go.microsoft.com/fwlink/?linkid=870924
Comment:
    Section: Topic Reference &amp; Useful Notes — background notes on slope types, units, and rounding conventions used in the workbook.</t>
      </text>
    </comment>
    <comment ref="B58" authorId="8" shapeId="0" xr:uid="{ABAEA8E9-CFE9-4523-A8EA-C4C3E3194F00}">
      <text>
        <t>[Threaded comment]
Your version of Excel allows you to read this threaded comment; however, any edits to it will get removed if the file is opened in a newer version of Excel. Learn more: https://go.microsoft.com/fwlink/?linkid=870924
Comment:
    Section: Sources &amp; Internal QA — links to the primary product reference and mathematical definitions used to build this workbook.</t>
      </text>
    </comment>
    <comment ref="B65" authorId="9" shapeId="0" xr:uid="{77537308-64C0-4CE4-9C69-6410E95361F1}">
      <text>
        <t>[Threaded comment]
Your version of Excel allows you to read this threaded comment; however, any edits to it will get removed if the file is opened in a newer version of Excel. Learn more: https://go.microsoft.com/fwlink/?linkid=870924
Comment:
    Section: Lists &amp; Dropdown Sources — the source lists (rows 67-70) feeding the dropdown selectors for rounding and angle options.</t>
      </text>
    </comment>
    <comment ref="B72" authorId="10" shapeId="0" xr:uid="{EC6B2A2C-136C-4488-B14B-0FE80D250B6B}">
      <text>
        <t>[Threaded comment]
Your version of Excel allows you to read this threaded comment; however, any edits to it will get removed if the file is opened in a newer version of Excel. Learn more: https://go.microsoft.com/fwlink/?linkid=870924
Comment:
    Reminder that the dropdown source lists above are meant to stay visible and editable, not hidden.</t>
      </text>
    </comment>
    <comment ref="B74" authorId="11" shapeId="0" xr:uid="{1C6EE342-EEC8-4EF2-8A6A-B6675D011A35}">
      <text>
        <t>[Threaded comment]
Your version of Excel allows you to read this threaded comment; however, any edits to it will get removed if the file is opened in a newer version of Excel. Learn more: https://go.microsoft.com/fwlink/?linkid=870924
Comment:
    Disclaimer: results depend on the entered coordinates, angle convention, tolerance, and rounding settings — use governing standards for engineering/regulated work.</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tc={97F30D4B-0410-42FF-BFB5-797EFFA04189}</author>
    <author>tc={F35F2820-F620-4B58-909C-15E91D41A139}</author>
    <author>tc={A5CD4A23-6B8A-4956-932A-A8EE6A6E8BB8}</author>
    <author>tc={881CF4EA-399C-4465-9D67-002842CB0B5A}</author>
    <author>tc={462AC555-39EB-4945-9B64-537FF2DD29D1}</author>
    <author>tc={E1D477FE-CBC8-42E4-842C-1C9D854EEBF7}</author>
    <author>tc={BBB838EB-3F45-43E7-A9EF-E4EE7439E7D1}</author>
    <author>tc={57CDE332-A2C9-462F-B988-E4C37EF9A70E}</author>
    <author>tc={F571BD1E-7054-4FF3-BF0D-6025771E43C9}</author>
    <author>tc={2B2023D9-9DD4-4D4A-A0E0-351493D54CC9}</author>
    <author>tc={1C578B22-3B00-4871-AC37-9001A8E40649}</author>
    <author>tc={110AB0AA-330A-4F3E-8973-35C393A38D0C}</author>
    <author>tc={D82B8DA6-EC76-46D1-B25A-5327B20DDF3B}</author>
    <author>tc={DAA222EA-90CE-4532-8796-9EC9A6572495}</author>
    <author>tc={23358D6F-8741-4CD7-B7F5-F015452D3E09}</author>
    <author>tc={BC71227B-2469-4141-BF08-74EAF101B6BF}</author>
    <author>tc={D3B1B7C8-168E-48E0-A5A2-63D86831DAF0}</author>
    <author>tc={7A46895C-14F0-42AC-915F-418EA67E11DD}</author>
    <author>tc={37A23F63-FD53-4549-AB9A-D3059293FD7B}</author>
    <author>tc={10E8E782-8362-47FC-B4A6-7CA959BCE5F9}</author>
    <author>tc={5784B780-645E-4D07-BA73-8262C35E5BC4}</author>
    <author>tc={3296479A-7DA1-4E3E-AC82-47F6D4633653}</author>
    <author>tc={BE947A16-8DDF-4F30-9900-B6B8B83E83D8}</author>
    <author>tc={E8021A74-9AA4-49D4-AB07-2891E36DE79B}</author>
    <author>tc={DB8D4E11-79A1-4BEC-A603-30CF33B388BB}</author>
  </authors>
  <commentList>
    <comment ref="B8" authorId="0" shapeId="0" xr:uid="{97F30D4B-0410-42FF-BFB5-797EFFA04189}">
      <text>
        <t>[Threaded comment]
Your version of Excel allows you to read this threaded comment; however, any edits to it will get removed if the file is opened in a newer version of Excel. Learn more: https://go.microsoft.com/fwlink/?linkid=870924
Comment:
    Section: Dynamic Interpretation — plain-language summary below (rows 10-12) of the QA status and the line's slope/direction, auto-generated from the current inputs.</t>
      </text>
    </comment>
    <comment ref="B14" authorId="1" shapeId="0" xr:uid="{F35F2820-F620-4B58-909C-15E91D41A139}">
      <text>
        <t>[Threaded comment]
Your version of Excel allows you to read this threaded comment; however, any edits to it will get removed if the file is opened in a newer version of Excel. Learn more: https://go.microsoft.com/fwlink/?linkid=870924
Comment:
    Chart/section title: Scenario Slope Comparison — labels the chart comparing slope across the scenario rows below (B56:F63 area).</t>
      </text>
    </comment>
    <comment ref="G14" authorId="2" shapeId="0" xr:uid="{A5CD4A23-6B8A-4956-932A-A8EE6A6E8BB8}">
      <text>
        <t>[Threaded comment]
Your version of Excel allows you to read this threaded comment; however, any edits to it will get removed if the file is opened in a newer version of Excel. Learn more: https://go.microsoft.com/fwlink/?linkid=870924
Comment:
    Chart/section title: Line Through P1 and P2 — labels the chart visualizing the line between the two input points.</t>
      </text>
    </comment>
    <comment ref="B28" authorId="3" shapeId="0" xr:uid="{881CF4EA-399C-4465-9D67-002842CB0B5A}">
      <text>
        <t>[Threaded comment]
Your version of Excel allows you to read this threaded comment; however, any edits to it will get removed if the file is opened in a newer version of Excel. Learn more: https://go.microsoft.com/fwlink/?linkid=870924
Comment:
    Section: Calculation Breakdown &amp; Line Equations — full-precision breakdown of every metric (Run, Rise, Slope, Angle, Distance, etc.) in the table below (rows 30-42).</t>
      </text>
    </comment>
    <comment ref="G28" authorId="4" shapeId="0" xr:uid="{462AC555-39EB-4945-9B64-537FF2DD29D1}">
      <text>
        <t>[Threaded comment]
Your version of Excel allows you to read this threaded comment; however, any edits to it will get removed if the file is opened in a newer version of Excel. Learn more: https://go.microsoft.com/fwlink/?linkid=870924
Comment:
    Section: Equation Translations — shows the line's equation in slope-intercept, point-slope, and general standard forms (rows 30-32).</t>
      </text>
    </comment>
    <comment ref="G34" authorId="5" shapeId="0" xr:uid="{E1D477FE-CBC8-42E4-842C-1C9D854EEBF7}">
      <text>
        <t>[Threaded comment]
Your version of Excel allows you to read this threaded comment; however, any edits to it will get removed if the file is opened in a newer version of Excel. Learn more: https://go.microsoft.com/fwlink/?linkid=870924
Comment:
    Section: Input Control Panel — yellow input cells below (rows 37-40) where Point 1 and Point 2 coordinates are entered.</t>
      </text>
    </comment>
    <comment ref="B44" authorId="6" shapeId="0" xr:uid="{BBB838EB-3F45-43E7-A9EF-E4EE7439E7D1}">
      <text>
        <t>[Threaded comment]
Your version of Excel allows you to read this threaded comment; however, any edits to it will get removed if the file is opened in a newer version of Excel. Learn more: https://go.microsoft.com/fwlink/?linkid=870924
Comment:
    Section: Advanced Analysis — covers the Target/Reverse Solver (rows 46-50) and the Scenario Comparison table (rows 56-65) below.</t>
      </text>
    </comment>
    <comment ref="G44" authorId="7" shapeId="0" xr:uid="{57CDE332-A2C9-462F-B988-E4C37EF9A70E}">
      <text>
        <t>[Threaded comment]
Your version of Excel allows you to read this threaded comment; however, any edits to it will get removed if the file is opened in a newer version of Excel. Learn more: https://go.microsoft.com/fwlink/?linkid=870924
Comment:
    Section: Key Results — headline result cards below (rows 46-51) for slope, distance, midpoint, angle, grade, and slope type.</t>
      </text>
    </comment>
    <comment ref="B55" authorId="8" shapeId="0" xr:uid="{F571BD1E-7054-4FF3-BF0D-6025771E43C9}">
      <text>
        <t>[Threaded comment]
Your version of Excel allows you to read this threaded comment; however, any edits to it will get removed if the file is opened in a newer version of Excel. Learn more: https://go.microsoft.com/fwlink/?linkid=870924
Comment:
    Section: Scenario Comparison — Fix Point 1, Vary Point 2 — table below (rows 58-63) tests alternative Point 2 coordinates against the same Point 1.</t>
      </text>
    </comment>
    <comment ref="B57" authorId="9" shapeId="0" xr:uid="{2B2023D9-9DD4-4D4A-A0E0-351493D54CC9}">
      <text>
        <t>[Threaded comment]
Your version of Excel allows you to read this threaded comment; however, any edits to it will get removed if the file is opened in a newer version of Excel. Learn more: https://go.microsoft.com/fwlink/?linkid=870924
Comment:
    Column header: Scenario — name of each test case below (Base, Steeper, Flatter, Negative, Vertical) that pairs the fixed Point 1 with an alternative Point 2.</t>
      </text>
    </comment>
    <comment ref="C57" authorId="10" shapeId="0" xr:uid="{1C578B22-3B00-4871-AC37-9001A8E40649}">
      <text>
        <t>[Threaded comment]
Your version of Excel allows you to read this threaded comment; however, any edits to it will get removed if the file is opened in a newer version of Excel. Learn more: https://go.microsoft.com/fwlink/?linkid=870924
Comment:
    Column header: x₂ — the alternative Point 2 x-coordinate for this scenario (Point 1 stays fixed).</t>
      </text>
    </comment>
    <comment ref="D57" authorId="11" shapeId="0" xr:uid="{110AB0AA-330A-4F3E-8973-35C393A38D0C}">
      <text>
        <t>[Threaded comment]
Your version of Excel allows you to read this threaded comment; however, any edits to it will get removed if the file is opened in a newer version of Excel. Learn more: https://go.microsoft.com/fwlink/?linkid=870924
Comment:
    Column header: y₂ — the alternative Point 2 y-coordinate for this scenario.</t>
      </text>
    </comment>
    <comment ref="E57" authorId="12" shapeId="0" xr:uid="{D82B8DA6-EC76-46D1-B25A-5327B20DDF3B}">
      <text>
        <t>[Threaded comment]
Your version of Excel allows you to read this threaded comment; however, any edits to it will get removed if the file is opened in a newer version of Excel. Learn more: https://go.microsoft.com/fwlink/?linkid=870924
Comment:
    Column header: Rise — Δy for this scenario (y₂ minus the fixed Point 1 y₁).</t>
      </text>
    </comment>
    <comment ref="F57" authorId="13" shapeId="0" xr:uid="{DAA222EA-90CE-4532-8796-9EC9A6572495}">
      <text>
        <t>[Threaded comment]
Your version of Excel allows you to read this threaded comment; however, any edits to it will get removed if the file is opened in a newer version of Excel. Learn more: https://go.microsoft.com/fwlink/?linkid=870924
Comment:
    Column header: Run — Δx for this scenario (x₂ minus the fixed Point 1 x₁).</t>
      </text>
    </comment>
    <comment ref="G57" authorId="14" shapeId="0" xr:uid="{23358D6F-8741-4CD7-B7F5-F015452D3E09}">
      <text>
        <t>[Threaded comment]
Your version of Excel allows you to read this threaded comment; however, any edits to it will get removed if the file is opened in a newer version of Excel. Learn more: https://go.microsoft.com/fwlink/?linkid=870924
Comment:
    Column header: Slope — Rise ÷ Run for this scenario's line; shows "Undefined" or "No line" for vertical/degenerate cases.</t>
      </text>
    </comment>
    <comment ref="H57" authorId="15" shapeId="0" xr:uid="{BC71227B-2469-4141-BF08-74EAF101B6BF}">
      <text>
        <t>[Threaded comment]
Your version of Excel allows you to read this threaded comment; however, any edits to it will get removed if the file is opened in a newer version of Excel. Learn more: https://go.microsoft.com/fwlink/?linkid=870924
Comment:
    Column header: Angle — this scenario's line angle in degrees, per the angle convention set in Settings &amp; Guide.</t>
      </text>
    </comment>
    <comment ref="I57" authorId="16" shapeId="0" xr:uid="{D3B1B7C8-168E-48E0-A5A2-63D86831DAF0}">
      <text>
        <t>[Threaded comment]
Your version of Excel allows you to read this threaded comment; however, any edits to it will get removed if the file is opened in a newer version of Excel. Learn more: https://go.microsoft.com/fwlink/?linkid=870924
Comment:
    Column header: Distance — straight-line distance between the fixed Point 1 and this scenario's Point 2.</t>
      </text>
    </comment>
    <comment ref="J57" authorId="17" shapeId="0" xr:uid="{7A46895C-14F0-42AC-915F-418EA67E11DD}">
      <text>
        <t>[Threaded comment]
Your version of Excel allows you to read this threaded comment; however, any edits to it will get removed if the file is opened in a newer version of Excel. Learn more: https://go.microsoft.com/fwlink/?linkid=870924
Comment:
    Column header: Type — classifies the scenario's slope as Positive, Negative, Horizontal, Vertical, or Degenerate.</t>
      </text>
    </comment>
    <comment ref="B66" authorId="18" shapeId="0" xr:uid="{37A23F63-FD53-4549-AB9A-D3059293FD7B}">
      <text>
        <t>[Threaded comment]
Your version of Excel allows you to read this threaded comment; however, any edits to it will get removed if the file is opened in a newer version of Excel. Learn more: https://go.microsoft.com/fwlink/?linkid=870924
Comment:
    Section: Calculation Support &amp; QA — Full-Precision Formulas — full-precision helper values below (from row 69) used to cross-check the rounded results shown elsewhere.</t>
      </text>
    </comment>
    <comment ref="B68" authorId="19" shapeId="0" xr:uid="{10E8E782-8362-47FC-B4A6-7CA959BCE5F9}">
      <text>
        <t>[Threaded comment]
Your version of Excel allows you to read this threaded comment; however, any edits to it will get removed if the file is opened in a newer version of Excel. Learn more: https://go.microsoft.com/fwlink/?linkid=870924
Comment:
    Column header: Support value — names the raw helper quantity reported in each row below (e.g., Run Δx).</t>
      </text>
    </comment>
    <comment ref="C68" authorId="20" shapeId="0" xr:uid="{5784B780-645E-4D07-BA73-8262C35E5BC4}">
      <text>
        <t>[Threaded comment]
Your version of Excel allows you to read this threaded comment; however, any edits to it will get removed if the file is opened in a newer version of Excel. Learn more: https://go.microsoft.com/fwlink/?linkid=870924
Comment:
    Column header: Full-precision result / status — the unrounded value (or status text) for that helper quantity, used to cross-check the rounded results shown elsewhere.</t>
      </text>
    </comment>
    <comment ref="D68" authorId="21" shapeId="0" xr:uid="{3296479A-7DA1-4E3E-AC82-47F6D4633653}">
      <text>
        <t>[Threaded comment]
Your version of Excel allows you to read this threaded comment; however, any edits to it will get removed if the file is opened in a newer version of Excel. Learn more: https://go.microsoft.com/fwlink/?linkid=870924
Comment:
    Column header: Purpose — plain-language explanation of what each support value represents and how it's used in the model.</t>
      </text>
    </comment>
    <comment ref="G68" authorId="22" shapeId="0" xr:uid="{BE947A16-8DDF-4F30-9900-B6B8B83E83D8}">
      <text>
        <t>[Threaded comment]
Your version of Excel allows you to read this threaded comment; however, any edits to it will get removed if the file is opened in a newer version of Excel. Learn more: https://go.microsoft.com/fwlink/?linkid=870924
Comment:
    Column header: Support value — names the raw helper quantity reported in each row below (e.g., Run Δx).</t>
      </text>
    </comment>
    <comment ref="H68" authorId="23" shapeId="0" xr:uid="{E8021A74-9AA4-49D4-AB07-2891E36DE79B}">
      <text>
        <t>[Threaded comment]
Your version of Excel allows you to read this threaded comment; however, any edits to it will get removed if the file is opened in a newer version of Excel. Learn more: https://go.microsoft.com/fwlink/?linkid=870924
Comment:
    Column header: Full-precision result / status — the unrounded value (or status text) for that helper quantity, used to cross-check the rounded results shown elsewhere.</t>
      </text>
    </comment>
    <comment ref="I68" authorId="24" shapeId="0" xr:uid="{DB8D4E11-79A1-4BEC-A603-30CF33B388BB}">
      <text>
        <t>[Threaded comment]
Your version of Excel allows you to read this threaded comment; however, any edits to it will get removed if the file is opened in a newer version of Excel. Learn more: https://go.microsoft.com/fwlink/?linkid=870924
Comment:
    Column header: Purpose — plain-language explanation of what each support value represents and how it's used in the model.</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<sst xmlns="http://schemas.openxmlformats.org/spreadsheetml/2006/main" count="290" uniqueCount="264">
  <si>
    <t>Find the slope and geometry of a line from two points, then explore equations, target coordinates, scenarios, and visual behavior.</t>
  </si>
  <si>
    <t>INPUT CONTROL PANEL</t>
  </si>
  <si>
    <t>Point 1 — x₁</t>
  </si>
  <si>
    <t>SLOPE (m)</t>
  </si>
  <si>
    <t>ANGLE (θ)</t>
  </si>
  <si>
    <t>Point 1 — y₁</t>
  </si>
  <si>
    <t>Point 2 — x₂</t>
  </si>
  <si>
    <t>MIDPOINT</t>
  </si>
  <si>
    <t>Point 2 — y₂</t>
  </si>
  <si>
    <t>Enter any real-number coordinates. Negative and decimal values are valid. If both points are identical, a unique line cannot be determined.</t>
  </si>
  <si>
    <t>GRADE (%)</t>
  </si>
  <si>
    <t>SLOPE TYPE</t>
  </si>
  <si>
    <t>Sample state matches the website example: P1 = (1, 2), P2 = (3, 8). Replace yellow cells to calculate your own line.</t>
  </si>
  <si>
    <t>Metric</t>
  </si>
  <si>
    <t>Result</t>
  </si>
  <si>
    <t>Meaning</t>
  </si>
  <si>
    <t>Run (Δx)</t>
  </si>
  <si>
    <t>Horizontal change x₂ − x₁.</t>
  </si>
  <si>
    <t>Rise (Δy)</t>
  </si>
  <si>
    <t>Vertical change y₂ − y₁.</t>
  </si>
  <si>
    <t>Slope-Intercept Form  •  y = mx + b</t>
  </si>
  <si>
    <t>Slope (m)</t>
  </si>
  <si>
    <t>Rise ÷ run; undefined when run is zero.</t>
  </si>
  <si>
    <t>Angle (θ)</t>
  </si>
  <si>
    <t>Inclination or signed angle per Settings.</t>
  </si>
  <si>
    <t>Distance</t>
  </si>
  <si>
    <t>Straight-line distance between points.</t>
  </si>
  <si>
    <t>Midpoint x</t>
  </si>
  <si>
    <t>Point-Slope Form  •  y − y₁ = m(x − x₁)</t>
  </si>
  <si>
    <t>Midpoint y</t>
  </si>
  <si>
    <t>Y-intercept (b)</t>
  </si>
  <si>
    <t>Where a non-vertical line crosses the y-axis.</t>
  </si>
  <si>
    <t>X-intercept</t>
  </si>
  <si>
    <t>Where the line crosses the x-axis.</t>
  </si>
  <si>
    <t>Direction unit x</t>
  </si>
  <si>
    <t>General Standard Form  •  Ax + By + C = 0</t>
  </si>
  <si>
    <t>Direction unit y</t>
  </si>
  <si>
    <t>Rise / run</t>
  </si>
  <si>
    <t>Transparent slope substitution before division.</t>
  </si>
  <si>
    <t>TARGET / REVERSE SOLVER</t>
  </si>
  <si>
    <t>Target x</t>
  </si>
  <si>
    <t>Computed y</t>
  </si>
  <si>
    <t>Target y</t>
  </si>
  <si>
    <t>Computed x</t>
  </si>
  <si>
    <t>Use this section to solve a known line for a chosen x or y. Special vertical/horizontal cases are reported in words.</t>
  </si>
  <si>
    <t>Scenario</t>
  </si>
  <si>
    <t>x₂</t>
  </si>
  <si>
    <t>y₂</t>
  </si>
  <si>
    <t>Rise</t>
  </si>
  <si>
    <t>Run</t>
  </si>
  <si>
    <t>Slope</t>
  </si>
  <si>
    <t>Angle</t>
  </si>
  <si>
    <t>Type</t>
  </si>
  <si>
    <t>Base</t>
  </si>
  <si>
    <t>Steeper</t>
  </si>
  <si>
    <t>Flatter</t>
  </si>
  <si>
    <t>Negative</t>
  </si>
  <si>
    <t>Vertical</t>
  </si>
  <si>
    <t>Scenario rows use the current Point 1 and independent yellow Point 2 inputs. The slope chart skips non-numeric vertical/degenerate slope values.</t>
  </si>
  <si>
    <t>Do The Calculation | Slope Calculator | dothecalculation.com</t>
  </si>
  <si>
    <t>Support value</t>
  </si>
  <si>
    <t>Full-precision result / status</t>
  </si>
  <si>
    <t>Purpose</t>
  </si>
  <si>
    <t>Run Δx</t>
  </si>
  <si>
    <t>x₂ − x₁</t>
  </si>
  <si>
    <t>X</t>
  </si>
  <si>
    <t>Y</t>
  </si>
  <si>
    <t>Slope numeric</t>
  </si>
  <si>
    <t>Rise Δy</t>
  </si>
  <si>
    <t>y₂ − y₁</t>
  </si>
  <si>
    <t>Repeated-point flag</t>
  </si>
  <si>
    <t>Detects P1 ≈ P2 using tolerance.</t>
  </si>
  <si>
    <t>Raw slope</t>
  </si>
  <si>
    <t>Unrounded rise/run.</t>
  </si>
  <si>
    <t>Signed angle</t>
  </si>
  <si>
    <t>arctan(m), signed.</t>
  </si>
  <si>
    <t>Selected angle</t>
  </si>
  <si>
    <t>Angle convention applied.</t>
  </si>
  <si>
    <t>Euclidean distance.</t>
  </si>
  <si>
    <t>Average x.</t>
  </si>
  <si>
    <t>Average y.</t>
  </si>
  <si>
    <t>Y-intercept</t>
  </si>
  <si>
    <t>b in y = mx + b.</t>
  </si>
  <si>
    <t>X-axis crossing / special state.</t>
  </si>
  <si>
    <t>Grade %</t>
  </si>
  <si>
    <t>100 × slope.</t>
  </si>
  <si>
    <t>Unit direction x</t>
  </si>
  <si>
    <t>Normalized direction vector.</t>
  </si>
  <si>
    <t>Unit direction y</t>
  </si>
  <si>
    <t>Slope type</t>
  </si>
  <si>
    <t>Positive / negative / zero / undefined.</t>
  </si>
  <si>
    <t>Raw A</t>
  </si>
  <si>
    <t>A = rise.</t>
  </si>
  <si>
    <t>Raw B</t>
  </si>
  <si>
    <t>B = −run.</t>
  </si>
  <si>
    <t>Raw C</t>
  </si>
  <si>
    <t>C = run·y₁ − rise·x₁.</t>
  </si>
  <si>
    <t>Integer-coefficient flag</t>
  </si>
  <si>
    <t>Allows integer simplification.</t>
  </si>
  <si>
    <t>Coefficient divisor</t>
  </si>
  <si>
    <t>GCD when coefficients are integers.</t>
  </si>
  <si>
    <t>Coefficient sign</t>
  </si>
  <si>
    <t>Normalizes coefficient sign.</t>
  </si>
  <si>
    <t>Standard A</t>
  </si>
  <si>
    <t>Final A coefficient.</t>
  </si>
  <si>
    <t>Standard B</t>
  </si>
  <si>
    <t>Final B coefficient.</t>
  </si>
  <si>
    <t>Standard C</t>
  </si>
  <si>
    <t>Final C coefficient.</t>
  </si>
  <si>
    <t>P1 standard residual</t>
  </si>
  <si>
    <t>Should be ~0.</t>
  </si>
  <si>
    <t>P2 standard residual</t>
  </si>
  <si>
    <t>Midpoint → P1 distance</t>
  </si>
  <si>
    <t>Midpoint symmetry check.</t>
  </si>
  <si>
    <t>Midpoint → P2 distance</t>
  </si>
  <si>
    <t>Reverse slope</t>
  </si>
  <si>
    <t>Slope computed with point order reversed.</t>
  </si>
  <si>
    <t>Overall QA</t>
  </si>
  <si>
    <t>Reconciliation status.</t>
  </si>
  <si>
    <t>Do The Calculation | Offline / Customizable Edition | Free Website Version v1.0 | dothecalculation.com</t>
  </si>
  <si>
    <t>Calculate the slope of the unique line through two Cartesian points, then examine its angle, distance, midpoint, intercepts, equation forms, grade, target points, scenario comparisons, and visual geometry.</t>
  </si>
  <si>
    <t>Primary reference: the live Do The Calculation Slope Calculator. The spreadsheet expands the browser tool into a deeper offline model.</t>
  </si>
  <si>
    <t>Sample values are included for demonstration. Replace yellow input cells with your own values.</t>
  </si>
  <si>
    <t>Output precision (decimals)</t>
  </si>
  <si>
    <t>0–6; affects rounded display values.</t>
  </si>
  <si>
    <t>Rounding method</t>
  </si>
  <si>
    <t>Nearest</t>
  </si>
  <si>
    <t>Up = away from zero; Down = toward zero.</t>
  </si>
  <si>
    <t>Angle convention</t>
  </si>
  <si>
    <t>Inclination 0–180°</t>
  </si>
  <si>
    <t>Inclination is orientation; signed angle preserves slope sign.</t>
  </si>
  <si>
    <t>Coordinate / distance unit</t>
  </si>
  <si>
    <t>units</t>
  </si>
  <si>
    <t>Slope remains unitless when x and y use the same unit.</t>
  </si>
  <si>
    <t>Validation tolerance</t>
  </si>
  <si>
    <t>Used only for zero / equality tests and QA checks.</t>
  </si>
  <si>
    <t>Derived display format</t>
  </si>
  <si>
    <t>Formula helper used in equation text.</t>
  </si>
  <si>
    <t>User Input</t>
  </si>
  <si>
    <t>Editable values — yellow cells only.</t>
  </si>
  <si>
    <t>Rounding options</t>
  </si>
  <si>
    <t>Angle options</t>
  </si>
  <si>
    <t>Formula / Output</t>
  </si>
  <si>
    <t>Calculated result or formula-driven value.</t>
  </si>
  <si>
    <t>Analysis / Insight</t>
  </si>
  <si>
    <t>Interpretation, QA, or visual analysis.</t>
  </si>
  <si>
    <t>Up</t>
  </si>
  <si>
    <t>Good / Positive</t>
  </si>
  <si>
    <t>Pass or positive status.</t>
  </si>
  <si>
    <t>Down</t>
  </si>
  <si>
    <t>Attention / Warning</t>
  </si>
  <si>
    <t>Review or special mathematical condition.</t>
  </si>
  <si>
    <t>Error / Invalid</t>
  </si>
  <si>
    <t>Invalid or non-unique input state.</t>
  </si>
  <si>
    <t>These lists are intentionally visible and editable.</t>
  </si>
  <si>
    <t>Neutral / No Data</t>
  </si>
  <si>
    <t>Inactive, not applicable, or insufficient input.</t>
  </si>
  <si>
    <t>Metric / Form</t>
  </si>
  <si>
    <t>Formula / Method</t>
  </si>
  <si>
    <t>Interpretation / Special Case</t>
  </si>
  <si>
    <t>Horizontal change. If Δx = 0 and the points differ, the line is vertical.</t>
  </si>
  <si>
    <t>Vertical change. If Δy = 0 and Δx ≠ 0, the line is horizontal.</t>
  </si>
  <si>
    <t>m = (y₂ − y₁) / (x₂ − x₁)</t>
  </si>
  <si>
    <t>Positive, negative, zero, or undefined. Repeated points do not define a unique line.</t>
  </si>
  <si>
    <t>θ = arctan(m)</t>
  </si>
  <si>
    <t>Vertical line = 90°. Inclination mode maps negative signed angles into 0°–180°.</t>
  </si>
  <si>
    <t>Straight-line distance between the two points.</t>
  </si>
  <si>
    <t>Midpoint</t>
  </si>
  <si>
    <t>Center point of the segment joining P1 and P2.</t>
  </si>
  <si>
    <t>b = y₁ − mx₁</t>
  </si>
  <si>
    <t>Applies to non-vertical lines in y = mx + b form.</t>
  </si>
  <si>
    <t>x = −b/m</t>
  </si>
  <si>
    <t>For m ≠ 0. Vertical lines intersect the x-axis at x = x₁.</t>
  </si>
  <si>
    <t>Point-slope form</t>
  </si>
  <si>
    <t>Transparent line equation based on Point 1 and slope.</t>
  </si>
  <si>
    <t>General standard form</t>
  </si>
  <si>
    <t>Ax + By + C = 0</t>
  </si>
  <si>
    <t>Built directly from Δx and Δy, so it also represents vertical lines.</t>
  </si>
  <si>
    <t>Grade (%)</t>
  </si>
  <si>
    <t>Signed percent rise per 100 horizontal units. Undefined for vertical lines.</t>
  </si>
  <si>
    <t>Positive slope</t>
  </si>
  <si>
    <t>m &gt; 0 — line rises from left to right.</t>
  </si>
  <si>
    <t>Primary product reference</t>
  </si>
  <si>
    <t>https://dothecalculation.com/calculators/slope-calculator</t>
  </si>
  <si>
    <t>Negative slope</t>
  </si>
  <si>
    <t>m &lt; 0 — line falls from left to right.</t>
  </si>
  <si>
    <t>Slope definition</t>
  </si>
  <si>
    <t>https://mathworld.wolfram.com/Slope.html</t>
  </si>
  <si>
    <t>Zero slope</t>
  </si>
  <si>
    <t>m = 0 — horizontal line.</t>
  </si>
  <si>
    <t>Line forms</t>
  </si>
  <si>
    <t>https://mathworld.wolfram.com/Line.html</t>
  </si>
  <si>
    <t>Undefined slope</t>
  </si>
  <si>
    <t>Δx = 0 — vertical line; division by zero is intentionally avoided.</t>
  </si>
  <si>
    <t>Two-point form</t>
  </si>
  <si>
    <t>https://mathworld.wolfram.com/Two-PointForm.html</t>
  </si>
  <si>
    <t>Repeated point</t>
  </si>
  <si>
    <t>P1 = P2 — infinitely many lines pass through one point, so no unique slope exists.</t>
  </si>
  <si>
    <t>Units</t>
  </si>
  <si>
    <t>Slope is dimensionless only when x and y are expressed in the same physical unit.</t>
  </si>
  <si>
    <t>Workbook QA status</t>
  </si>
  <si>
    <t>Rounding</t>
  </si>
  <si>
    <t>The workbook keeps raw helper calculations at full precision and rounds displayed values only.</t>
  </si>
  <si>
    <t>Standard-form P1 residual</t>
  </si>
  <si>
    <t>Standard-form P2 residual</t>
  </si>
  <si>
    <t>Midpoint symmetry</t>
  </si>
  <si>
    <t>Reverse-slope consistency</t>
  </si>
  <si>
    <r>
      <rPr>
        <b/>
        <sz val="12"/>
        <color theme="9" tint="-0.249977111117893"/>
        <rFont val="Century Gothic"/>
        <family val="2"/>
      </rPr>
      <t>Technical note:</t>
    </r>
    <r>
      <rPr>
        <sz val="10"/>
        <color rgb="FF666666"/>
        <rFont val="Century Gothic"/>
        <family val="2"/>
      </rPr>
      <t xml:space="preserve"> </t>
    </r>
    <r>
      <rPr>
        <i/>
        <sz val="10"/>
        <color rgb="FF666666"/>
        <rFont val="Century Gothic"/>
        <family val="2"/>
      </rPr>
      <t>results depend on entered coordinates, selected angle convention, tolerance, and output rounding. For engineering or regulated design work, use the governing standard and required measurement precision.</t>
    </r>
  </si>
  <si>
    <r>
      <rPr>
        <b/>
        <sz val="10"/>
        <color rgb="FF000000"/>
        <rFont val="Century Gothic"/>
        <family val="2"/>
      </rPr>
      <t>1</t>
    </r>
    <r>
      <rPr>
        <sz val="10"/>
        <color rgb="FF000000"/>
        <rFont val="Century Gothic"/>
        <family val="2"/>
      </rPr>
      <t>. Review output precision, rounding, angle convention, and unit label.</t>
    </r>
  </si>
  <si>
    <r>
      <rPr>
        <b/>
        <sz val="10"/>
        <color rgb="FF000000"/>
        <rFont val="Century Gothic"/>
        <family val="2"/>
      </rPr>
      <t>2</t>
    </r>
    <r>
      <rPr>
        <sz val="10"/>
        <color rgb="FF000000"/>
        <rFont val="Century Gothic"/>
        <family val="2"/>
      </rPr>
      <t>. Open Main Calculator and replace the four yellow point coordinates.</t>
    </r>
  </si>
  <si>
    <r>
      <rPr>
        <b/>
        <sz val="10"/>
        <color rgb="FF000000"/>
        <rFont val="Century Gothic"/>
        <family val="2"/>
      </rPr>
      <t>3</t>
    </r>
    <r>
      <rPr>
        <sz val="10"/>
        <color rgb="FF000000"/>
        <rFont val="Century Gothic"/>
        <family val="2"/>
      </rPr>
      <t>. Read the key result cards for slope, angle, distance, midpoint, grade, and type.</t>
    </r>
  </si>
  <si>
    <r>
      <rPr>
        <b/>
        <sz val="10"/>
        <color rgb="FF000000"/>
        <rFont val="Century Gothic"/>
        <family val="2"/>
      </rPr>
      <t>4</t>
    </r>
    <r>
      <rPr>
        <sz val="10"/>
        <color rgb="FF000000"/>
        <rFont val="Century Gothic"/>
        <family val="2"/>
      </rPr>
      <t>. Review the transparent calculation breakdown and line equation translations.</t>
    </r>
  </si>
  <si>
    <r>
      <rPr>
        <b/>
        <sz val="10"/>
        <color rgb="FF000000"/>
        <rFont val="Century Gothic"/>
        <family val="2"/>
      </rPr>
      <t>5</t>
    </r>
    <r>
      <rPr>
        <sz val="10"/>
        <color rgb="FF000000"/>
        <rFont val="Century Gothic"/>
        <family val="2"/>
      </rPr>
      <t>. Use the target solver when you need y at a chosen x or x at a chosen y.</t>
    </r>
  </si>
  <si>
    <r>
      <rPr>
        <b/>
        <sz val="10"/>
        <color rgb="FF000000"/>
        <rFont val="Century Gothic"/>
        <family val="2"/>
      </rPr>
      <t>6</t>
    </r>
    <r>
      <rPr>
        <sz val="10"/>
        <color rgb="FF000000"/>
        <rFont val="Century Gothic"/>
        <family val="2"/>
      </rPr>
      <t>. Compare alternative Point 2 coordinates in the scenario table and charts.</t>
    </r>
  </si>
  <si>
    <r>
      <rPr>
        <b/>
        <sz val="10"/>
        <color rgb="FF000000"/>
        <rFont val="Century Gothic"/>
        <family val="2"/>
      </rPr>
      <t>7</t>
    </r>
    <r>
      <rPr>
        <sz val="10"/>
        <color rgb="FF000000"/>
        <rFont val="Century Gothic"/>
        <family val="2"/>
      </rPr>
      <t>. Check dynamic interpretation and QA status before printing or sharing.</t>
    </r>
  </si>
  <si>
    <r>
      <t xml:space="preserve">SLOPE CALCULATOR - </t>
    </r>
    <r>
      <rPr>
        <sz val="28"/>
        <color rgb="FF0066FF"/>
        <rFont val="Century Gothic"/>
        <family val="2"/>
      </rPr>
      <t>SETTINGS &amp; GUIDE.</t>
    </r>
  </si>
  <si>
    <r>
      <t>WORKBOOK INTRODUCTION</t>
    </r>
    <r>
      <rPr>
        <b/>
        <sz val="16"/>
        <color rgb="FF0066FF"/>
        <rFont val="Century Gothic"/>
        <family val="2"/>
      </rPr>
      <t>.</t>
    </r>
  </si>
  <si>
    <r>
      <t>QUICK START</t>
    </r>
    <r>
      <rPr>
        <b/>
        <sz val="14"/>
        <color rgb="FF0066FF"/>
        <rFont val="Century Gothic"/>
        <family val="2"/>
      </rPr>
      <t>.</t>
    </r>
  </si>
  <si>
    <r>
      <t>CALCULATOR CONFIGURATION</t>
    </r>
    <r>
      <rPr>
        <b/>
        <sz val="14"/>
        <color rgb="FF0066FF"/>
        <rFont val="Century Gothic"/>
        <family val="2"/>
      </rPr>
      <t>.</t>
    </r>
  </si>
  <si>
    <r>
      <t xml:space="preserve">INPUT / FORMULA / </t>
    </r>
    <r>
      <rPr>
        <sz val="14"/>
        <color rgb="FF0066FF"/>
        <rFont val="Century Gothic"/>
        <family val="2"/>
      </rPr>
      <t>STATUS LEGEND.</t>
    </r>
  </si>
  <si>
    <r>
      <t xml:space="preserve">FORMULA &amp; </t>
    </r>
    <r>
      <rPr>
        <sz val="14"/>
        <color rgb="FF0066FF"/>
        <rFont val="Century Gothic"/>
        <family val="2"/>
      </rPr>
      <t>METHOD REFERENCE.</t>
    </r>
  </si>
  <si>
    <r>
      <t xml:space="preserve">TOPIC REFERENCE &amp; </t>
    </r>
    <r>
      <rPr>
        <sz val="14"/>
        <color rgb="FF0066FF"/>
        <rFont val="Century Gothic"/>
        <family val="2"/>
      </rPr>
      <t>USEFUL NOTES.</t>
    </r>
  </si>
  <si>
    <r>
      <t xml:space="preserve">SOURCES &amp; </t>
    </r>
    <r>
      <rPr>
        <sz val="14"/>
        <color rgb="FF0066FF"/>
        <rFont val="Century Gothic"/>
        <family val="2"/>
      </rPr>
      <t>INTERNAL QA.</t>
    </r>
  </si>
  <si>
    <r>
      <t xml:space="preserve">LISTS &amp; </t>
    </r>
    <r>
      <rPr>
        <sz val="14"/>
        <color rgb="FF0066FF"/>
        <rFont val="Century Gothic"/>
        <family val="2"/>
      </rPr>
      <t>DROPDOWN SOURCES.</t>
    </r>
  </si>
  <si>
    <t>WORKBOOK QA STATUS.</t>
  </si>
  <si>
    <t>Chart data</t>
  </si>
  <si>
    <r>
      <t>SLOPE CALCULATOR</t>
    </r>
    <r>
      <rPr>
        <b/>
        <sz val="28"/>
        <color rgb="FF0066FF"/>
        <rFont val="Century Gothic"/>
        <family val="2"/>
      </rPr>
      <t>.</t>
    </r>
  </si>
  <si>
    <r>
      <t>DYNAMIC INTERPRETATION</t>
    </r>
    <r>
      <rPr>
        <b/>
        <sz val="14"/>
        <color rgb="FF0066FF"/>
        <rFont val="Century Gothic"/>
        <family val="2"/>
      </rPr>
      <t>.</t>
    </r>
  </si>
  <si>
    <r>
      <t xml:space="preserve">CALCULATION BREAKDOWN &amp; </t>
    </r>
    <r>
      <rPr>
        <sz val="14"/>
        <color rgb="FF0066FF"/>
        <rFont val="Century Gothic"/>
        <family val="2"/>
      </rPr>
      <t>LINE EQUATIONS.</t>
    </r>
  </si>
  <si>
    <r>
      <t xml:space="preserve">EQUATION </t>
    </r>
    <r>
      <rPr>
        <sz val="14"/>
        <color rgb="FF0066FF"/>
        <rFont val="Century Gothic"/>
        <family val="2"/>
      </rPr>
      <t>TRANSLATIONS.</t>
    </r>
  </si>
  <si>
    <r>
      <t>ADVANCED ANALYSIS</t>
    </r>
    <r>
      <rPr>
        <b/>
        <sz val="14"/>
        <color rgb="FF0066FF"/>
        <rFont val="Century Gothic"/>
        <family val="2"/>
      </rPr>
      <t>.</t>
    </r>
  </si>
  <si>
    <r>
      <t>KEY RESULTS</t>
    </r>
    <r>
      <rPr>
        <b/>
        <sz val="14"/>
        <color rgb="FF0066FF"/>
        <rFont val="Century Gothic"/>
        <family val="2"/>
      </rPr>
      <t>.</t>
    </r>
  </si>
  <si>
    <r>
      <t xml:space="preserve">SCENARIO COMPARISON — </t>
    </r>
    <r>
      <rPr>
        <sz val="14"/>
        <color rgb="FF0066FF"/>
        <rFont val="Century Gothic"/>
        <family val="2"/>
      </rPr>
      <t>FIX POINT 1, VARY POINT 2.</t>
    </r>
  </si>
  <si>
    <r>
      <t xml:space="preserve">CALCULATION SUPPORT &amp; QA — </t>
    </r>
    <r>
      <rPr>
        <sz val="14"/>
        <color rgb="FF0066FF"/>
        <rFont val="Century Gothic"/>
        <family val="2"/>
      </rPr>
      <t>FULL-PRECISION FORMULAS.</t>
    </r>
  </si>
  <si>
    <r>
      <t xml:space="preserve">Line Through </t>
    </r>
    <r>
      <rPr>
        <b/>
        <sz val="14"/>
        <color rgb="FF0066FF"/>
        <rFont val="Century Gothic"/>
        <family val="2"/>
      </rPr>
      <t xml:space="preserve">P1 and </t>
    </r>
    <r>
      <rPr>
        <b/>
        <sz val="14"/>
        <color theme="9" tint="-0.249977111117893"/>
        <rFont val="Century Gothic"/>
        <family val="2"/>
      </rPr>
      <t>P2</t>
    </r>
    <r>
      <rPr>
        <b/>
        <sz val="14"/>
        <color rgb="FF0066FF"/>
        <rFont val="Century Gothic"/>
        <family val="2"/>
      </rPr>
      <t>.</t>
    </r>
  </si>
  <si>
    <r>
      <t xml:space="preserve">Scenario Slope </t>
    </r>
    <r>
      <rPr>
        <sz val="14"/>
        <color rgb="FF0066FF"/>
        <rFont val="Century Gothic"/>
        <family val="2"/>
      </rPr>
      <t>Comparison.</t>
    </r>
  </si>
  <si>
    <r>
      <t>ABOUT THIS TEMPLATE</t>
    </r>
    <r>
      <rPr>
        <b/>
        <sz val="28"/>
        <color rgb="FF0066FF"/>
        <rFont val="Century Gothic"/>
        <family val="2"/>
      </rPr>
      <t>.</t>
    </r>
  </si>
  <si>
    <t>Brand, usage, copyright, and disclaimer.</t>
  </si>
  <si>
    <t>Template name</t>
  </si>
  <si>
    <t>Version</t>
  </si>
  <si>
    <t>Free Website Version v1.0</t>
  </si>
  <si>
    <t>Brand</t>
  </si>
  <si>
    <t>Do The Calculation</t>
  </si>
  <si>
    <t>Website</t>
  </si>
  <si>
    <t>dothecalculation.com</t>
  </si>
  <si>
    <t>Product</t>
  </si>
  <si>
    <t>Format</t>
  </si>
  <si>
    <t>Microsoft Excel workbook without VBA/macros</t>
  </si>
  <si>
    <t>Compatibility</t>
  </si>
  <si>
    <t>Excel and reasonable Google Sheets compatibility</t>
  </si>
  <si>
    <t>Usage note: This free website version is designed for coordinate geometry practice, slope and line-equation calculations, and beginner-friendly geometry learning. You may edit the four input cells and the Settings sheet dropdowns for your own use.</t>
  </si>
  <si>
    <t>Disclaimer: This spreadsheet template is provided for general planning and informational purposes only. It does not constitute financial, legal, tax, investment, or professional advice. Users should review their own financial situation and consult a qualified professional where necessary.</t>
  </si>
  <si>
    <t>Redistribution note: Unauthorized resale or redistribution of this template file is not allowed.</t>
  </si>
  <si>
    <t>Copyright © 2026 Do The Calculation. All rights reserved.</t>
  </si>
  <si>
    <t>Slope calculator Template V1</t>
  </si>
  <si>
    <t>Slope calculator .</t>
  </si>
  <si>
    <t>NOTES / INTERPRETATION.</t>
  </si>
  <si>
    <t>Δx = x₂ − x₁</t>
  </si>
  <si>
    <t>Δy = y₂ − y₁</t>
  </si>
  <si>
    <t>d = √(x₂ − x₁)² + (y₂ − y₁)²</t>
  </si>
  <si>
    <t>y − y₁ = m*(x − x₁)</t>
  </si>
  <si>
    <t>G % = 100 × m</t>
  </si>
  <si>
    <t>M = ((x₁+x₂)/2, (y₁+y₂)/2)</t>
  </si>
  <si>
    <t>Signed –90° to 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</si>
</sst>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0000"/>
    <numFmt numFmtId="165" formatCode="0.######"/>
    <numFmt numFmtId="166" formatCode="0.######&quot;°&quot;"/>
    <numFmt numFmtId="167" formatCode="0.######&quot;%&quot;"/>
  </numFmts>
  <fonts count="38">
    <font>
      <sz val="11"/>
      <color theme="1"/>
      <name val="Calibri"/>
      <family val="2"/>
      <scheme val="minor"/>
    </font>
    <font>
      <sz val="12"/>
      <color theme="10"/>
      <name val="Calibri"/>
      <family val="2"/>
      <scheme val="minor"/>
    </font>
    <font>
      <sz val="10"/>
      <color rgb="FF000000"/>
      <name val="Century Gothic"/>
      <family val="2"/>
    </font>
    <font>
      <sz val="11"/>
      <color theme="1"/>
      <name val="Century Gothic"/>
      <family val="2"/>
    </font>
    <font>
      <i/>
      <sz val="10"/>
      <color rgb="FF666666"/>
      <name val="Century Gothic"/>
      <family val="2"/>
    </font>
    <font>
      <sz val="11"/>
      <color rgb="FF000000"/>
      <name val="Century Gothic"/>
      <family val="2"/>
    </font>
    <font>
      <sz val="10"/>
      <color rgb="FF666666"/>
      <name val="Century Gothic"/>
      <family val="2"/>
    </font>
    <font>
      <b/>
      <sz val="10"/>
      <color rgb="FF0066FF"/>
      <name val="Century Gothic"/>
      <family val="2"/>
    </font>
    <font>
      <b/>
      <sz val="10"/>
      <name val="Century Gothic"/>
      <family val="2"/>
    </font>
    <font>
      <sz val="10"/>
      <color theme="1"/>
      <name val="Century Gothic"/>
      <family val="2"/>
    </font>
    <font>
      <b/>
      <sz val="24"/>
      <color theme="1"/>
      <name val="Century Gothic"/>
      <family val="2"/>
    </font>
    <font>
      <b/>
      <sz val="12"/>
      <color theme="1"/>
      <name val="Century Gothic"/>
      <family val="2"/>
    </font>
    <font>
      <b/>
      <sz val="10"/>
      <color theme="1"/>
      <name val="Century Gothic"/>
      <family val="2"/>
    </font>
    <font>
      <b/>
      <sz val="10"/>
      <color rgb="FF000000"/>
      <name val="Century Gothic"/>
      <family val="2"/>
    </font>
    <font>
      <u/>
      <sz val="10"/>
      <color rgb="FF0066FF"/>
      <name val="Century Gothic"/>
      <family val="2"/>
    </font>
    <font>
      <b/>
      <sz val="10"/>
      <color rgb="FF464632"/>
      <name val="Century Gothic"/>
      <family val="2"/>
    </font>
    <font>
      <b/>
      <sz val="28"/>
      <color theme="1"/>
      <name val="Century Gothic"/>
      <family val="2"/>
    </font>
    <font>
      <b/>
      <sz val="16"/>
      <color theme="1"/>
      <name val="Century Gothic"/>
      <family val="2"/>
    </font>
    <font>
      <b/>
      <sz val="14"/>
      <color theme="1"/>
      <name val="Century Gothic"/>
      <family val="2"/>
    </font>
    <font>
      <b/>
      <sz val="12"/>
      <color theme="9" tint="-0.249977111117893"/>
      <name val="Century Gothic"/>
      <family val="2"/>
    </font>
    <font>
      <b/>
      <sz val="11"/>
      <color rgb="FFFFFFFF"/>
      <name val="Century Gothic"/>
      <family val="2"/>
    </font>
    <font>
      <sz val="10"/>
      <name val="Century Gothic"/>
      <family val="2"/>
    </font>
    <font>
      <i/>
      <sz val="10"/>
      <color rgb="FF000000"/>
      <name val="Century Gothic"/>
      <family val="2"/>
    </font>
    <font>
      <b/>
      <sz val="28"/>
      <color rgb="FF0066FF"/>
      <name val="Century Gothic"/>
      <family val="2"/>
    </font>
    <font>
      <sz val="28"/>
      <color rgb="FF0066FF"/>
      <name val="Century Gothic"/>
      <family val="2"/>
    </font>
    <font>
      <u/>
      <sz val="11"/>
      <color theme="10"/>
      <name val="Carlito"/>
    </font>
    <font>
      <b/>
      <sz val="16"/>
      <color rgb="FF0066FF"/>
      <name val="Century Gothic"/>
      <family val="2"/>
    </font>
    <font>
      <b/>
      <sz val="14"/>
      <color rgb="FF0066FF"/>
      <name val="Century Gothic"/>
      <family val="2"/>
    </font>
    <font>
      <sz val="14"/>
      <color rgb="FF0066FF"/>
      <name val="Century Gothic"/>
      <family val="2"/>
    </font>
    <font>
      <b/>
      <sz val="11"/>
      <color theme="1"/>
      <name val="Century Gothic"/>
      <family val="2"/>
    </font>
    <font>
      <b/>
      <sz val="11"/>
      <color rgb="FF464632"/>
      <name val="Century Gothic"/>
      <family val="2"/>
    </font>
    <font>
      <b/>
      <sz val="11"/>
      <color rgb="FF0066FF"/>
      <name val="Century Gothic"/>
      <family val="2"/>
    </font>
    <font>
      <b/>
      <sz val="14"/>
      <color rgb="FF000000"/>
      <name val="Century Gothic"/>
      <family val="2"/>
    </font>
    <font>
      <b/>
      <sz val="10"/>
      <color theme="0"/>
      <name val="Century Gothic"/>
      <family val="2"/>
    </font>
    <font>
      <sz val="10"/>
      <color rgb="FF464632"/>
      <name val="Century Gothic"/>
      <family val="2"/>
    </font>
    <font>
      <b/>
      <sz val="14"/>
      <color theme="9" tint="-0.249977111117893"/>
      <name val="Century Gothic"/>
      <family val="2"/>
    </font>
    <font>
      <sz val="11"/>
      <name val="Carlito"/>
    </font>
    <font>
      <sz val="28"/>
      <color theme="1"/>
      <name val="Century Gothic"/>
      <family val="2"/>
    </font>
  </fonts>
  <fills count="17">
    <fill>
      <patternFill patternType="none"/>
    </fill>
    <fill>
      <patternFill patternType="gray125"/>
    </fill>
    <fill>
      <patternFill patternType="solid">
        <fgColor rgb="FFF5F5EF"/>
      </patternFill>
    </fill>
    <fill>
      <patternFill patternType="solid">
        <fgColor rgb="FF464632"/>
      </patternFill>
    </fill>
    <fill>
      <patternFill patternType="solid">
        <fgColor rgb="FFFFFFFF"/>
      </patternFill>
    </fill>
    <fill>
      <patternFill patternType="solid">
        <fgColor rgb="FFFFF7E6"/>
      </patternFill>
    </fill>
    <fill>
      <patternFill patternType="solid">
        <fgColor rgb="FFEBF3FF"/>
      </patternFill>
    </fill>
    <fill>
      <patternFill patternType="solid">
        <fgColor rgb="FFFFF4D5"/>
      </patternFill>
    </fill>
    <fill>
      <patternFill patternType="solid">
        <fgColor rgb="FFFCE4D6"/>
      </patternFill>
    </fill>
    <fill>
      <patternFill patternType="solid">
        <fgColor rgb="FFEDEDED"/>
      </patternFill>
    </fill>
    <fill>
      <patternFill patternType="solid">
        <fgColor rgb="FFF5F5EF"/>
        <bgColor indexed="64"/>
      </patternFill>
    </fill>
    <fill>
      <patternFill patternType="solid">
        <fgColor rgb="FFEBF3FF"/>
        <bgColor indexed="64"/>
      </patternFill>
    </fill>
    <fill>
      <patternFill patternType="solid">
        <fgColor rgb="FFFFF7E6"/>
        <bgColor indexed="64"/>
      </patternFill>
    </fill>
    <fill>
      <patternFill patternType="solid">
        <fgColor theme="0"/>
        <bgColor indexed="64"/>
      </patternFill>
    </fill>
    <fill>
      <patternFill patternType="solid">
        <fgColor rgb="FFE8F2E2"/>
        <bgColor indexed="64"/>
      </patternFill>
    </fill>
    <fill>
      <patternFill patternType="solid">
        <fgColor rgb="FF464632"/>
        <bgColor indexed="64"/>
      </patternFill>
    </fill>
    <fill>
      <patternFill patternType="solid">
        <fgColor rgb="FFE7E7D9"/>
        <bgColor indexed="64"/>
      </patternFill>
    </fill>
  </fills>
  <borders count="49">
    <border>
      <left/>
      <right/>
      <top/>
      <bottom/>
      <diagonal/>
    </border>
    <border>
      <left/>
      <right/>
      <top/>
      <bottom/>
      <diagonal/>
    </border>
    <border>
      <left style="thick">
        <color rgb="FF0066FF"/>
      </left>
      <right/>
      <top/>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ck">
        <color theme="0" tint="-0.14993743705557422"/>
      </left>
      <right/>
      <top/>
      <bottom style="thin">
        <color theme="0" tint="-0.14993743705557422"/>
      </bottom>
      <diagonal/>
    </border>
    <border>
      <left/>
      <right/>
      <top/>
      <bottom style="thin">
        <color theme="0" tint="-0.14993743705557422"/>
      </bottom>
      <diagonal/>
    </border>
    <border>
      <left style="thick">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rgb="FFFFE6AF"/>
      </top>
      <bottom/>
      <diagonal/>
    </border>
    <border>
      <left/>
      <right/>
      <top/>
      <bottom style="thin">
        <color rgb="FFFFE6AF"/>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n">
        <color rgb="FF464632"/>
      </left>
      <right/>
      <top style="thin">
        <color rgb="FF464632"/>
      </top>
      <bottom style="thin">
        <color rgb="FF464632"/>
      </bottom>
      <diagonal/>
    </border>
    <border>
      <left/>
      <right style="thin">
        <color rgb="FF464632"/>
      </right>
      <top style="thin">
        <color rgb="FF464632"/>
      </top>
      <bottom style="thin">
        <color rgb="FF464632"/>
      </bottom>
      <diagonal/>
    </border>
    <border>
      <left style="thin">
        <color theme="0" tint="-0.14996795556505021"/>
      </left>
      <right style="thin">
        <color theme="0" tint="-0.14996795556505021"/>
      </right>
      <top/>
      <bottom style="thin">
        <color theme="0" tint="-0.14996795556505021"/>
      </bottom>
      <diagonal/>
    </border>
    <border>
      <left/>
      <right/>
      <top style="thin">
        <color rgb="FF464632"/>
      </top>
      <bottom style="thin">
        <color rgb="FF464632"/>
      </bottom>
      <diagonal/>
    </border>
    <border>
      <left/>
      <right style="thick">
        <color theme="0" tint="-0.14993743705557422"/>
      </right>
      <top/>
      <bottom style="thin">
        <color theme="0" tint="-0.14993743705557422"/>
      </bottom>
      <diagonal/>
    </border>
    <border>
      <left/>
      <right style="thick">
        <color theme="0" tint="-0.14993743705557422"/>
      </right>
      <top style="thin">
        <color theme="0" tint="-0.14993743705557422"/>
      </top>
      <bottom style="thin">
        <color theme="0" tint="-0.14993743705557422"/>
      </bottom>
      <diagonal/>
    </border>
    <border>
      <left style="thick">
        <color theme="9" tint="-0.24994659260841701"/>
      </left>
      <right/>
      <top style="thin">
        <color rgb="FFFFE6AF"/>
      </top>
      <bottom/>
      <diagonal/>
    </border>
    <border>
      <left style="thick">
        <color theme="9" tint="-0.24994659260841701"/>
      </left>
      <right/>
      <top/>
      <bottom style="thin">
        <color rgb="FFFFE6AF"/>
      </bottom>
      <diagonal/>
    </border>
    <border>
      <left style="thick">
        <color theme="9" tint="-0.24994659260841701"/>
      </left>
      <right/>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ck">
        <color theme="0" tint="-0.149906918546098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6795556505021"/>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
      <left style="thin">
        <color theme="0" tint="-0.14993743705557422"/>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3743705557422"/>
      </right>
      <top style="thin">
        <color theme="0" tint="-0.14996795556505021"/>
      </top>
      <bottom style="thin">
        <color theme="0" tint="-0.1499374370555742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ck">
        <color theme="0" tint="-0.14990691854609822"/>
      </left>
      <right/>
      <top style="thin">
        <color theme="0" tint="-0.1498764000366222"/>
      </top>
      <bottom style="thin">
        <color theme="0" tint="-0.1498764000366222"/>
      </bottom>
      <diagonal/>
    </border>
    <border>
      <left/>
      <right style="thin">
        <color theme="0" tint="-0.1498764000366222"/>
      </right>
      <top style="thin">
        <color theme="0" tint="-0.1498764000366222"/>
      </top>
      <bottom style="thin">
        <color theme="0" tint="-0.1498764000366222"/>
      </bottom>
      <diagonal/>
    </border>
    <border>
      <left/>
      <right style="thin">
        <color theme="0" tint="-0.14993743705557422"/>
      </right>
      <top style="thin">
        <color theme="0" tint="-0.14996795556505021"/>
      </top>
      <bottom style="thin">
        <color theme="0" tint="-0.14996795556505021"/>
      </bottom>
      <diagonal/>
    </border>
    <border>
      <left style="thin">
        <color theme="0" tint="-0.14996795556505021"/>
      </left>
      <right/>
      <top style="thin">
        <color rgb="FF464632"/>
      </top>
      <bottom style="thin">
        <color theme="0" tint="-0.14996795556505021"/>
      </bottom>
      <diagonal/>
    </border>
    <border>
      <left/>
      <right/>
      <top style="thin">
        <color rgb="FF464632"/>
      </top>
      <bottom style="thin">
        <color theme="0" tint="-0.14996795556505021"/>
      </bottom>
      <diagonal/>
    </border>
    <border>
      <left/>
      <right style="thin">
        <color theme="0" tint="-0.14993743705557422"/>
      </right>
      <top style="thin">
        <color rgb="FF464632"/>
      </top>
      <bottom style="thin">
        <color theme="0" tint="-0.14996795556505021"/>
      </bottom>
      <diagonal/>
    </border>
    <border>
      <left style="thick">
        <color theme="0" tint="-0.14993743705557422"/>
      </left>
      <right/>
      <top/>
      <bottom style="thin">
        <color theme="0" tint="-0.14996795556505021"/>
      </bottom>
      <diagonal/>
    </border>
    <border>
      <left style="thick">
        <color theme="0" tint="-0.14993743705557422"/>
      </left>
      <right/>
      <top style="thin">
        <color theme="0" tint="-0.14996795556505021"/>
      </top>
      <bottom style="thin">
        <color theme="0" tint="-0.14996795556505021"/>
      </bottom>
      <diagonal/>
    </border>
    <border>
      <left/>
      <right style="thin">
        <color theme="9" tint="0.59996337778862885"/>
      </right>
      <top style="thin">
        <color rgb="FFFFE6AF"/>
      </top>
      <bottom/>
      <diagonal/>
    </border>
    <border>
      <left/>
      <right style="thin">
        <color theme="9" tint="0.59996337778862885"/>
      </right>
      <top/>
      <bottom style="thin">
        <color rgb="FFFFE6AF"/>
      </bottom>
      <diagonal/>
    </border>
    <border>
      <left style="thick">
        <color rgb="FF0066FF"/>
      </left>
      <right/>
      <top style="thin">
        <color rgb="FF93BFFF"/>
      </top>
      <bottom style="thin">
        <color rgb="FF93BFFF"/>
      </bottom>
      <diagonal/>
    </border>
    <border>
      <left/>
      <right/>
      <top style="thin">
        <color rgb="FF93BFFF"/>
      </top>
      <bottom style="thin">
        <color rgb="FF93BFFF"/>
      </bottom>
      <diagonal/>
    </border>
    <border>
      <left/>
      <right style="thin">
        <color rgb="FF93BFFF"/>
      </right>
      <top style="thin">
        <color rgb="FF93BFFF"/>
      </top>
      <bottom style="thin">
        <color rgb="FF93BFFF"/>
      </bottom>
      <diagonal/>
    </border>
  </borders>
  <cellStyleXfs count="4">
    <xf numFmtId="0" fontId="0" fillId="0" borderId="0"/>
    <xf numFmtId="0" fontId="1" fillId="0" borderId="0"/>
    <xf numFmtId="0" fontId="36" fillId="0" borderId="1"/>
    <xf numFmtId="0" fontId="25" fillId="0" borderId="1" applyNumberFormat="0" applyFill="0" applyBorder="0" applyAlignment="0" applyProtection="0"/>
  </cellStyleXfs>
  <cellXfs count="192">
    <xf numFmtId="0" fontId="0" fillId="0" borderId="0" xfId="0"/>
    <xf numFmtId="0" fontId="9" fillId="10" borderId="0" xfId="0" applyFont="1" applyFill="1" applyAlignment="1">
      <alignment horizontal="left" vertical="center"/>
    </xf>
    <xf numFmtId="0" fontId="2" fillId="10" borderId="1" xfId="0" applyFont="1" applyFill="1" applyBorder="1" applyAlignment="1">
      <alignment horizontal="left" vertical="center"/>
    </xf>
    <xf numFmtId="0" fontId="9" fillId="10" borderId="1" xfId="0" applyFont="1" applyFill="1" applyBorder="1" applyAlignment="1">
      <alignment horizontal="left" vertical="center"/>
    </xf>
    <xf numFmtId="0" fontId="6" fillId="10" borderId="1" xfId="0" applyFont="1" applyFill="1" applyBorder="1"/>
    <xf numFmtId="0" fontId="2" fillId="2" borderId="1" xfId="0" applyFont="1" applyFill="1" applyBorder="1" applyAlignment="1">
      <alignment horizontal="left" vertical="center"/>
    </xf>
    <xf numFmtId="0" fontId="2" fillId="6" borderId="1" xfId="0" applyFont="1" applyFill="1" applyBorder="1" applyAlignment="1">
      <alignment horizontal="left" vertical="center"/>
    </xf>
    <xf numFmtId="0" fontId="7" fillId="10" borderId="1" xfId="0" applyFont="1" applyFill="1" applyBorder="1" applyAlignment="1">
      <alignment vertical="center"/>
    </xf>
    <xf numFmtId="0" fontId="9" fillId="10" borderId="1" xfId="0" applyFont="1" applyFill="1" applyBorder="1" applyAlignment="1">
      <alignment horizontal="left"/>
    </xf>
    <xf numFmtId="0" fontId="9" fillId="10" borderId="1" xfId="0" applyFont="1" applyFill="1" applyBorder="1"/>
    <xf numFmtId="0" fontId="2" fillId="10" borderId="1" xfId="0" applyFont="1" applyFill="1" applyBorder="1" applyAlignment="1">
      <alignment vertical="center"/>
    </xf>
    <xf numFmtId="0" fontId="6" fillId="10" borderId="1" xfId="0" applyFont="1" applyFill="1" applyBorder="1" applyAlignment="1">
      <alignment vertical="center"/>
    </xf>
    <xf numFmtId="0" fontId="16" fillId="10" borderId="1" xfId="0" applyFont="1" applyFill="1" applyBorder="1" applyAlignment="1">
      <alignment vertical="center"/>
    </xf>
    <xf numFmtId="0" fontId="12" fillId="10" borderId="0" xfId="0" applyFont="1" applyFill="1" applyAlignment="1">
      <alignment vertical="center"/>
    </xf>
    <xf numFmtId="0" fontId="9" fillId="10" borderId="1" xfId="0" applyFont="1" applyFill="1" applyBorder="1" applyAlignment="1">
      <alignment horizontal="left" indent="1"/>
    </xf>
    <xf numFmtId="0" fontId="0" fillId="10" borderId="0" xfId="0" applyFill="1"/>
    <xf numFmtId="0" fontId="15" fillId="10" borderId="1" xfId="0" applyFont="1" applyFill="1" applyBorder="1" applyAlignment="1">
      <alignment vertical="center"/>
    </xf>
    <xf numFmtId="0" fontId="9" fillId="10" borderId="1" xfId="0" applyFont="1" applyFill="1" applyBorder="1" applyAlignment="1">
      <alignment horizontal="left" vertical="center" indent="1"/>
    </xf>
    <xf numFmtId="0" fontId="6" fillId="4" borderId="5" xfId="0" applyFont="1" applyFill="1" applyBorder="1" applyAlignment="1">
      <alignment horizontal="left" vertical="center" indent="1"/>
    </xf>
    <xf numFmtId="0" fontId="13" fillId="5" borderId="6" xfId="0" applyFont="1" applyFill="1" applyBorder="1" applyAlignment="1">
      <alignment horizontal="left" vertical="center" indent="1"/>
    </xf>
    <xf numFmtId="0" fontId="13" fillId="4" borderId="6" xfId="0" applyFont="1" applyFill="1" applyBorder="1" applyAlignment="1">
      <alignment horizontal="left" vertical="center" indent="1"/>
    </xf>
    <xf numFmtId="0" fontId="13" fillId="6" borderId="6" xfId="0" applyFont="1" applyFill="1" applyBorder="1" applyAlignment="1">
      <alignment horizontal="left" vertical="center" indent="1"/>
    </xf>
    <xf numFmtId="0" fontId="13" fillId="7" borderId="6" xfId="0" applyFont="1" applyFill="1" applyBorder="1" applyAlignment="1">
      <alignment horizontal="left" vertical="center" indent="1"/>
    </xf>
    <xf numFmtId="0" fontId="13" fillId="8" borderId="6" xfId="0" applyFont="1" applyFill="1" applyBorder="1" applyAlignment="1">
      <alignment horizontal="left" vertical="center" indent="1"/>
    </xf>
    <xf numFmtId="0" fontId="13" fillId="9" borderId="6" xfId="0" applyFont="1" applyFill="1" applyBorder="1" applyAlignment="1">
      <alignment horizontal="left" vertical="center" indent="1"/>
    </xf>
    <xf numFmtId="0" fontId="2" fillId="10" borderId="1" xfId="0" applyFont="1" applyFill="1" applyBorder="1" applyAlignment="1">
      <alignment horizontal="left" vertical="center" indent="1"/>
    </xf>
    <xf numFmtId="0" fontId="5" fillId="10" borderId="1" xfId="0" applyFont="1" applyFill="1" applyBorder="1" applyAlignment="1">
      <alignment horizontal="center" vertical="center"/>
    </xf>
    <xf numFmtId="0" fontId="3" fillId="10" borderId="1" xfId="0" applyFont="1" applyFill="1" applyBorder="1" applyAlignment="1">
      <alignment horizontal="center"/>
    </xf>
    <xf numFmtId="0" fontId="20" fillId="3" borderId="16" xfId="0" applyFont="1" applyFill="1" applyBorder="1" applyAlignment="1">
      <alignment horizontal="center" vertical="center"/>
    </xf>
    <xf numFmtId="0" fontId="20" fillId="3" borderId="17" xfId="0" applyFont="1" applyFill="1" applyBorder="1" applyAlignment="1">
      <alignment horizontal="center" vertical="center"/>
    </xf>
    <xf numFmtId="0" fontId="6" fillId="10" borderId="1" xfId="0" applyFont="1" applyFill="1" applyBorder="1" applyAlignment="1">
      <alignment horizontal="left" vertical="center" indent="1"/>
    </xf>
    <xf numFmtId="1" fontId="2" fillId="5" borderId="5" xfId="0" applyNumberFormat="1" applyFont="1" applyFill="1" applyBorder="1" applyAlignment="1" applyProtection="1">
      <alignment horizontal="left" vertical="center" indent="1"/>
      <protection locked="0"/>
    </xf>
    <xf numFmtId="0" fontId="2" fillId="5" borderId="5" xfId="0" applyFont="1" applyFill="1" applyBorder="1" applyAlignment="1" applyProtection="1">
      <alignment horizontal="left" vertical="center" indent="1"/>
      <protection locked="0"/>
    </xf>
    <xf numFmtId="164" fontId="2" fillId="5" borderId="5" xfId="0" applyNumberFormat="1" applyFont="1" applyFill="1" applyBorder="1" applyAlignment="1" applyProtection="1">
      <alignment horizontal="left" vertical="center" indent="1"/>
      <protection locked="0"/>
    </xf>
    <xf numFmtId="0" fontId="21" fillId="4" borderId="5" xfId="0" applyFont="1" applyFill="1" applyBorder="1" applyAlignment="1">
      <alignment horizontal="left" vertical="center" indent="1"/>
    </xf>
    <xf numFmtId="0" fontId="22" fillId="10" borderId="1" xfId="0" applyFont="1" applyFill="1" applyBorder="1" applyAlignment="1">
      <alignment vertical="center"/>
    </xf>
    <xf numFmtId="0" fontId="5" fillId="2" borderId="1" xfId="0" applyFont="1" applyFill="1" applyBorder="1" applyAlignment="1">
      <alignment horizontal="center" vertical="center"/>
    </xf>
    <xf numFmtId="0" fontId="21" fillId="4" borderId="18" xfId="0" applyFont="1" applyFill="1" applyBorder="1" applyAlignment="1">
      <alignment horizontal="left" vertical="center" indent="1"/>
    </xf>
    <xf numFmtId="0" fontId="20" fillId="3" borderId="19" xfId="0" applyFont="1" applyFill="1" applyBorder="1" applyAlignment="1">
      <alignment horizontal="center" vertical="center"/>
    </xf>
    <xf numFmtId="0" fontId="1" fillId="10" borderId="0" xfId="1" applyFill="1" applyAlignment="1">
      <alignment horizontal="right" vertical="center"/>
    </xf>
    <xf numFmtId="0" fontId="22" fillId="10" borderId="1" xfId="0" applyFont="1" applyFill="1" applyBorder="1" applyAlignment="1">
      <alignment horizontal="left" vertical="center"/>
    </xf>
    <xf numFmtId="0" fontId="13" fillId="14" borderId="6" xfId="0" applyFont="1" applyFill="1" applyBorder="1" applyAlignment="1">
      <alignment horizontal="left" vertical="center" indent="1"/>
    </xf>
    <xf numFmtId="0" fontId="8" fillId="14" borderId="5" xfId="0" applyFont="1" applyFill="1" applyBorder="1" applyAlignment="1">
      <alignment horizontal="left" vertical="center" indent="1"/>
    </xf>
    <xf numFmtId="0" fontId="2" fillId="2" borderId="1" xfId="0" applyFont="1" applyFill="1" applyBorder="1" applyAlignment="1">
      <alignment horizontal="left" vertical="center" indent="1"/>
    </xf>
    <xf numFmtId="0" fontId="9" fillId="10" borderId="1" xfId="0" applyFont="1" applyFill="1" applyBorder="1" applyAlignment="1">
      <alignment vertical="center"/>
    </xf>
    <xf numFmtId="0" fontId="17" fillId="10" borderId="1" xfId="0" applyFont="1" applyFill="1" applyBorder="1" applyAlignment="1">
      <alignment vertical="center"/>
    </xf>
    <xf numFmtId="0" fontId="18" fillId="10" borderId="1" xfId="0" applyFont="1" applyFill="1" applyBorder="1" applyAlignment="1">
      <alignment vertical="center"/>
    </xf>
    <xf numFmtId="0" fontId="2" fillId="11" borderId="1" xfId="0" applyFont="1" applyFill="1" applyBorder="1" applyAlignment="1">
      <alignment horizontal="left" vertical="center"/>
    </xf>
    <xf numFmtId="165" fontId="13" fillId="5" borderId="5" xfId="0" applyNumberFormat="1" applyFont="1" applyFill="1" applyBorder="1" applyAlignment="1" applyProtection="1">
      <alignment horizontal="left" vertical="center" indent="1"/>
      <protection locked="0"/>
    </xf>
    <xf numFmtId="165" fontId="2" fillId="5" borderId="5" xfId="0" applyNumberFormat="1" applyFont="1" applyFill="1" applyBorder="1" applyAlignment="1" applyProtection="1">
      <alignment horizontal="left" vertical="center" indent="1"/>
      <protection locked="0"/>
    </xf>
    <xf numFmtId="165" fontId="2" fillId="5" borderId="18" xfId="0" applyNumberFormat="1" applyFont="1" applyFill="1" applyBorder="1" applyAlignment="1" applyProtection="1">
      <alignment horizontal="left" vertical="center" indent="1"/>
      <protection locked="0"/>
    </xf>
    <xf numFmtId="0" fontId="6" fillId="4" borderId="18" xfId="0" applyFont="1" applyFill="1" applyBorder="1" applyAlignment="1">
      <alignment horizontal="left" vertical="center" indent="1"/>
    </xf>
    <xf numFmtId="0" fontId="3" fillId="10" borderId="1" xfId="0" applyFont="1" applyFill="1" applyBorder="1" applyAlignment="1">
      <alignment horizontal="center" vertical="center"/>
    </xf>
    <xf numFmtId="0" fontId="30" fillId="10" borderId="1" xfId="0" applyFont="1" applyFill="1" applyBorder="1" applyAlignment="1">
      <alignment vertical="center"/>
    </xf>
    <xf numFmtId="167" fontId="32" fillId="10" borderId="1" xfId="0" applyNumberFormat="1" applyFont="1" applyFill="1" applyBorder="1" applyAlignment="1">
      <alignment vertical="center"/>
    </xf>
    <xf numFmtId="0" fontId="2" fillId="4" borderId="5" xfId="0" applyFont="1" applyFill="1" applyBorder="1" applyAlignment="1">
      <alignment horizontal="left" vertical="center" indent="1"/>
    </xf>
    <xf numFmtId="166" fontId="2" fillId="4" borderId="5" xfId="0" applyNumberFormat="1" applyFont="1" applyFill="1" applyBorder="1" applyAlignment="1">
      <alignment horizontal="left" vertical="center" indent="1"/>
    </xf>
    <xf numFmtId="0" fontId="5" fillId="2"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9" fillId="4" borderId="5" xfId="0" applyFont="1" applyFill="1" applyBorder="1" applyAlignment="1">
      <alignment horizontal="left" vertical="center" indent="1"/>
    </xf>
    <xf numFmtId="0" fontId="2" fillId="4" borderId="18" xfId="0" applyFont="1" applyFill="1" applyBorder="1" applyAlignment="1">
      <alignment horizontal="left" vertical="center" indent="1"/>
    </xf>
    <xf numFmtId="165" fontId="13" fillId="5" borderId="18" xfId="0" applyNumberFormat="1" applyFont="1" applyFill="1" applyBorder="1" applyAlignment="1" applyProtection="1">
      <alignment horizontal="left" vertical="center" indent="1"/>
      <protection locked="0"/>
    </xf>
    <xf numFmtId="166" fontId="2" fillId="4" borderId="18" xfId="0" applyNumberFormat="1" applyFont="1" applyFill="1" applyBorder="1" applyAlignment="1">
      <alignment horizontal="left" vertical="center" indent="1"/>
    </xf>
    <xf numFmtId="0" fontId="20" fillId="3" borderId="16" xfId="0" applyFont="1" applyFill="1" applyBorder="1" applyAlignment="1">
      <alignment horizontal="center" vertical="center" wrapText="1"/>
    </xf>
    <xf numFmtId="0" fontId="20" fillId="3" borderId="19" xfId="0" applyFont="1" applyFill="1" applyBorder="1" applyAlignment="1">
      <alignment horizontal="center" vertical="center" wrapText="1"/>
    </xf>
    <xf numFmtId="0" fontId="9" fillId="4" borderId="27" xfId="0" applyFont="1" applyFill="1" applyBorder="1" applyAlignment="1">
      <alignment horizontal="left" vertical="center" wrapText="1" indent="1"/>
    </xf>
    <xf numFmtId="0" fontId="9" fillId="4" borderId="28" xfId="0" applyFont="1" applyFill="1" applyBorder="1" applyAlignment="1">
      <alignment horizontal="left" vertical="center" wrapText="1" indent="1"/>
    </xf>
    <xf numFmtId="0" fontId="9" fillId="4" borderId="29" xfId="0" applyFont="1" applyFill="1" applyBorder="1" applyAlignment="1">
      <alignment horizontal="left" vertical="center" wrapText="1" indent="1"/>
    </xf>
    <xf numFmtId="0" fontId="9" fillId="4" borderId="30" xfId="0" applyFont="1" applyFill="1" applyBorder="1" applyAlignment="1">
      <alignment horizontal="left" vertical="center" indent="1"/>
    </xf>
    <xf numFmtId="0" fontId="9" fillId="4" borderId="31" xfId="0" applyFont="1" applyFill="1" applyBorder="1" applyAlignment="1">
      <alignment horizontal="left" vertical="center" indent="1"/>
    </xf>
    <xf numFmtId="0" fontId="9" fillId="4" borderId="32" xfId="0" applyFont="1" applyFill="1" applyBorder="1" applyAlignment="1">
      <alignment horizontal="left" vertical="center" indent="1"/>
    </xf>
    <xf numFmtId="0" fontId="9" fillId="4" borderId="33" xfId="0" applyFont="1" applyFill="1" applyBorder="1" applyAlignment="1">
      <alignment horizontal="left" vertical="center" indent="1"/>
    </xf>
    <xf numFmtId="0" fontId="9" fillId="4" borderId="34" xfId="0" applyFont="1" applyFill="1" applyBorder="1" applyAlignment="1">
      <alignment horizontal="left" vertical="center" indent="1"/>
    </xf>
    <xf numFmtId="0" fontId="21" fillId="4" borderId="18" xfId="0" applyFont="1" applyFill="1" applyBorder="1" applyAlignment="1">
      <alignment horizontal="left" vertical="center" wrapText="1" indent="1"/>
    </xf>
    <xf numFmtId="0" fontId="21" fillId="4" borderId="5" xfId="0" applyFont="1" applyFill="1" applyBorder="1" applyAlignment="1">
      <alignment horizontal="left" vertical="center" wrapText="1" indent="1"/>
    </xf>
    <xf numFmtId="0" fontId="3" fillId="10" borderId="1" xfId="2" applyFont="1" applyFill="1"/>
    <xf numFmtId="0" fontId="37" fillId="10" borderId="1" xfId="2" applyFont="1" applyFill="1" applyAlignment="1">
      <alignment vertical="center"/>
    </xf>
    <xf numFmtId="0" fontId="16" fillId="10" borderId="1" xfId="2" applyFont="1" applyFill="1" applyAlignment="1">
      <alignment vertical="center"/>
    </xf>
    <xf numFmtId="0" fontId="9" fillId="10" borderId="1" xfId="2" applyFont="1" applyFill="1" applyAlignment="1">
      <alignment vertical="center"/>
    </xf>
    <xf numFmtId="0" fontId="3" fillId="10" borderId="1" xfId="2" applyFont="1" applyFill="1" applyAlignment="1">
      <alignment vertical="center"/>
    </xf>
    <xf numFmtId="0" fontId="9" fillId="10" borderId="1" xfId="2" applyFont="1" applyFill="1" applyAlignment="1">
      <alignment horizontal="left" vertical="center" indent="1"/>
    </xf>
    <xf numFmtId="0" fontId="3" fillId="10" borderId="1" xfId="2" applyFont="1" applyFill="1" applyAlignment="1">
      <alignment horizontal="left" vertical="center" indent="1"/>
    </xf>
    <xf numFmtId="0" fontId="29" fillId="10" borderId="35" xfId="2" applyFont="1" applyFill="1" applyBorder="1" applyAlignment="1">
      <alignment horizontal="left" vertical="center" indent="1"/>
    </xf>
    <xf numFmtId="0" fontId="29" fillId="16" borderId="35" xfId="3" applyFont="1" applyFill="1" applyBorder="1" applyAlignment="1">
      <alignment horizontal="left" vertical="center" indent="1"/>
    </xf>
    <xf numFmtId="0" fontId="3" fillId="10" borderId="35" xfId="2" applyFont="1" applyFill="1" applyBorder="1" applyAlignment="1">
      <alignment horizontal="left" vertical="center" indent="1"/>
    </xf>
    <xf numFmtId="0" fontId="31" fillId="16" borderId="35" xfId="3" applyFont="1" applyFill="1" applyBorder="1" applyAlignment="1">
      <alignment horizontal="left" vertical="center" indent="1"/>
    </xf>
    <xf numFmtId="0" fontId="3" fillId="10" borderId="35" xfId="2" applyFont="1" applyFill="1" applyBorder="1" applyAlignment="1">
      <alignment horizontal="left" vertical="center" wrapText="1" indent="1"/>
    </xf>
    <xf numFmtId="0" fontId="3" fillId="10" borderId="1" xfId="3" applyFont="1" applyFill="1" applyAlignment="1">
      <alignment vertical="center"/>
    </xf>
    <xf numFmtId="0" fontId="36" fillId="10" borderId="1" xfId="2" applyFill="1"/>
    <xf numFmtId="0" fontId="9" fillId="10" borderId="1" xfId="2" applyFont="1" applyFill="1" applyAlignment="1">
      <alignment vertical="center" wrapText="1"/>
    </xf>
    <xf numFmtId="0" fontId="11" fillId="10" borderId="1" xfId="2" applyFont="1" applyFill="1" applyAlignment="1">
      <alignment vertical="center"/>
    </xf>
    <xf numFmtId="164" fontId="2" fillId="11" borderId="5" xfId="0" applyNumberFormat="1" applyFont="1" applyFill="1" applyBorder="1" applyAlignment="1" applyProtection="1">
      <alignment horizontal="left" vertical="center" indent="1"/>
      <protection locked="0"/>
    </xf>
    <xf numFmtId="0" fontId="21" fillId="10" borderId="1" xfId="0" applyFont="1" applyFill="1" applyBorder="1" applyAlignment="1">
      <alignment horizontal="left" vertical="center" indent="1"/>
    </xf>
    <xf numFmtId="165" fontId="2" fillId="10" borderId="1" xfId="0" applyNumberFormat="1" applyFont="1" applyFill="1" applyBorder="1" applyAlignment="1">
      <alignment horizontal="left" vertical="center" indent="1"/>
    </xf>
    <xf numFmtId="165" fontId="2" fillId="10" borderId="1" xfId="0" applyNumberFormat="1" applyFont="1" applyFill="1" applyBorder="1" applyAlignment="1" applyProtection="1">
      <alignment horizontal="left" vertical="center" indent="1"/>
      <protection locked="0"/>
    </xf>
    <xf numFmtId="0" fontId="2" fillId="2" borderId="1" xfId="0" applyFont="1" applyFill="1" applyBorder="1" applyAlignment="1">
      <alignment vertical="center"/>
    </xf>
    <xf numFmtId="0" fontId="33" fillId="10" borderId="1" xfId="0" applyFont="1" applyFill="1" applyBorder="1" applyAlignment="1">
      <alignment vertical="center"/>
    </xf>
    <xf numFmtId="165" fontId="2" fillId="12" borderId="18" xfId="0" applyNumberFormat="1" applyFont="1" applyFill="1" applyBorder="1" applyAlignment="1">
      <alignment horizontal="left" vertical="center" indent="1"/>
    </xf>
    <xf numFmtId="165" fontId="2" fillId="12" borderId="5" xfId="0" applyNumberFormat="1" applyFont="1" applyFill="1" applyBorder="1" applyAlignment="1">
      <alignment horizontal="left" vertical="center" indent="1"/>
    </xf>
    <xf numFmtId="0" fontId="2" fillId="4" borderId="25" xfId="0" applyFont="1" applyFill="1" applyBorder="1" applyAlignment="1">
      <alignment horizontal="left" vertical="center" indent="1"/>
    </xf>
    <xf numFmtId="0" fontId="20" fillId="10" borderId="1" xfId="0" applyFont="1" applyFill="1" applyBorder="1" applyAlignment="1">
      <alignment vertical="center"/>
    </xf>
    <xf numFmtId="0" fontId="9" fillId="10" borderId="1" xfId="0" applyFont="1" applyFill="1" applyBorder="1" applyAlignment="1">
      <alignment vertical="center" wrapText="1"/>
    </xf>
    <xf numFmtId="0" fontId="12" fillId="10" borderId="1" xfId="0" applyFont="1" applyFill="1" applyBorder="1" applyAlignment="1">
      <alignment vertical="center"/>
    </xf>
    <xf numFmtId="0" fontId="14" fillId="10" borderId="1" xfId="1" applyFont="1" applyFill="1" applyBorder="1" applyAlignment="1">
      <alignment vertical="center"/>
    </xf>
    <xf numFmtId="0" fontId="4" fillId="10" borderId="1" xfId="0" applyFont="1" applyFill="1" applyBorder="1" applyAlignment="1">
      <alignment vertical="center"/>
    </xf>
    <xf numFmtId="0" fontId="6" fillId="10" borderId="1" xfId="0" applyFont="1" applyFill="1" applyBorder="1" applyAlignment="1">
      <alignment vertical="center" wrapText="1"/>
    </xf>
    <xf numFmtId="165" fontId="2" fillId="0" borderId="5" xfId="0" applyNumberFormat="1" applyFont="1" applyBorder="1" applyAlignment="1" applyProtection="1">
      <alignment horizontal="left" vertical="center" indent="1"/>
      <protection locked="0"/>
    </xf>
    <xf numFmtId="0" fontId="18" fillId="10" borderId="2" xfId="0" applyFont="1" applyFill="1" applyBorder="1" applyAlignment="1">
      <alignment horizontal="left" vertical="center" indent="1"/>
    </xf>
    <xf numFmtId="0" fontId="18" fillId="10" borderId="1" xfId="0" applyFont="1" applyFill="1" applyBorder="1" applyAlignment="1">
      <alignment horizontal="left" vertical="center" indent="1"/>
    </xf>
    <xf numFmtId="0" fontId="17" fillId="10" borderId="2" xfId="0" applyFont="1" applyFill="1" applyBorder="1" applyAlignment="1">
      <alignment horizontal="left" vertical="center" indent="1"/>
    </xf>
    <xf numFmtId="0" fontId="17" fillId="10" borderId="1" xfId="0" applyFont="1" applyFill="1" applyBorder="1" applyAlignment="1">
      <alignment horizontal="left" vertical="center" indent="1"/>
    </xf>
    <xf numFmtId="0" fontId="6" fillId="4" borderId="6" xfId="0" applyFont="1" applyFill="1" applyBorder="1" applyAlignment="1">
      <alignment horizontal="left" vertical="center" indent="1"/>
    </xf>
    <xf numFmtId="0" fontId="6" fillId="4" borderId="7" xfId="0" applyFont="1" applyFill="1" applyBorder="1" applyAlignment="1">
      <alignment horizontal="left" vertical="center" indent="1"/>
    </xf>
    <xf numFmtId="0" fontId="34" fillId="13" borderId="25" xfId="0" applyFont="1" applyFill="1" applyBorder="1" applyAlignment="1">
      <alignment horizontal="left" vertical="center" indent="1"/>
    </xf>
    <xf numFmtId="0" fontId="34" fillId="13" borderId="26" xfId="0" applyFont="1" applyFill="1" applyBorder="1" applyAlignment="1">
      <alignment horizontal="left" vertical="center" indent="1"/>
    </xf>
    <xf numFmtId="0" fontId="33" fillId="15" borderId="16" xfId="0" applyFont="1" applyFill="1" applyBorder="1" applyAlignment="1">
      <alignment horizontal="center" vertical="center"/>
    </xf>
    <xf numFmtId="0" fontId="33" fillId="15" borderId="19" xfId="0" applyFont="1" applyFill="1" applyBorder="1" applyAlignment="1">
      <alignment horizontal="center" vertical="center"/>
    </xf>
    <xf numFmtId="0" fontId="33" fillId="15" borderId="17" xfId="0" applyFont="1" applyFill="1" applyBorder="1" applyAlignment="1">
      <alignment horizontal="center" vertical="center"/>
    </xf>
    <xf numFmtId="0" fontId="6" fillId="12" borderId="24" xfId="0" applyFont="1" applyFill="1" applyBorder="1" applyAlignment="1">
      <alignment horizontal="left" vertical="center" indent="1"/>
    </xf>
    <xf numFmtId="0" fontId="6" fillId="12" borderId="1" xfId="0" applyFont="1" applyFill="1" applyBorder="1" applyAlignment="1">
      <alignment horizontal="left" vertical="center" indent="1"/>
    </xf>
    <xf numFmtId="165" fontId="13" fillId="11" borderId="36" xfId="0" applyNumberFormat="1" applyFont="1" applyFill="1" applyBorder="1" applyAlignment="1">
      <alignment horizontal="left" vertical="center" indent="1"/>
    </xf>
    <xf numFmtId="165" fontId="13" fillId="11" borderId="37" xfId="0" applyNumberFormat="1" applyFont="1" applyFill="1" applyBorder="1" applyAlignment="1">
      <alignment horizontal="left" vertical="center" indent="1"/>
    </xf>
    <xf numFmtId="0" fontId="20" fillId="3" borderId="19" xfId="0" applyFont="1" applyFill="1" applyBorder="1" applyAlignment="1">
      <alignment horizontal="center" vertical="center"/>
    </xf>
    <xf numFmtId="0" fontId="20" fillId="3" borderId="17" xfId="0" applyFont="1" applyFill="1" applyBorder="1" applyAlignment="1">
      <alignment horizontal="center" vertical="center"/>
    </xf>
    <xf numFmtId="0" fontId="9" fillId="13" borderId="25" xfId="0" applyFont="1" applyFill="1" applyBorder="1" applyAlignment="1">
      <alignment horizontal="left" vertical="center" indent="1"/>
    </xf>
    <xf numFmtId="0" fontId="6" fillId="4" borderId="5" xfId="0" applyFont="1" applyFill="1" applyBorder="1" applyAlignment="1">
      <alignment horizontal="left" vertical="center" indent="1"/>
    </xf>
    <xf numFmtId="0" fontId="21" fillId="4" borderId="5" xfId="0" applyFont="1" applyFill="1" applyBorder="1" applyAlignment="1">
      <alignment horizontal="left" vertical="center" indent="1"/>
    </xf>
    <xf numFmtId="167" fontId="13" fillId="11" borderId="36" xfId="0" applyNumberFormat="1" applyFont="1" applyFill="1" applyBorder="1" applyAlignment="1">
      <alignment horizontal="left" vertical="center" indent="1"/>
    </xf>
    <xf numFmtId="167" fontId="13" fillId="11" borderId="37" xfId="0" applyNumberFormat="1" applyFont="1" applyFill="1" applyBorder="1" applyAlignment="1">
      <alignment horizontal="left" vertical="center" indent="1"/>
    </xf>
    <xf numFmtId="0" fontId="6" fillId="4" borderId="18" xfId="0" applyFont="1" applyFill="1" applyBorder="1" applyAlignment="1">
      <alignment horizontal="left" vertical="center" indent="1"/>
    </xf>
    <xf numFmtId="0" fontId="20" fillId="3" borderId="19"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9" fillId="11" borderId="2" xfId="0" applyFont="1" applyFill="1" applyBorder="1" applyAlignment="1">
      <alignment horizontal="left" vertical="center" indent="1"/>
    </xf>
    <xf numFmtId="0" fontId="9" fillId="11" borderId="1" xfId="0" applyFont="1" applyFill="1" applyBorder="1" applyAlignment="1">
      <alignment horizontal="left" vertical="center" indent="1"/>
    </xf>
    <xf numFmtId="0" fontId="9" fillId="12" borderId="24" xfId="0" applyFont="1" applyFill="1" applyBorder="1" applyAlignment="1">
      <alignment horizontal="left" vertical="center" indent="1"/>
    </xf>
    <xf numFmtId="0" fontId="9" fillId="12" borderId="1" xfId="0" applyFont="1" applyFill="1" applyBorder="1" applyAlignment="1">
      <alignment horizontal="left" vertical="center" indent="1"/>
    </xf>
    <xf numFmtId="0" fontId="6" fillId="4" borderId="14" xfId="0" applyFont="1" applyFill="1" applyBorder="1" applyAlignment="1">
      <alignment horizontal="left" vertical="center" indent="1"/>
    </xf>
    <xf numFmtId="0" fontId="6" fillId="4" borderId="15" xfId="0" applyFont="1" applyFill="1" applyBorder="1" applyAlignment="1">
      <alignment horizontal="left" vertical="center" indent="1"/>
    </xf>
    <xf numFmtId="0" fontId="9" fillId="4" borderId="6" xfId="0" applyFont="1" applyFill="1" applyBorder="1" applyAlignment="1">
      <alignment horizontal="left" vertical="center" wrapText="1" indent="1"/>
    </xf>
    <xf numFmtId="0" fontId="9" fillId="4" borderId="4" xfId="0" applyFont="1" applyFill="1" applyBorder="1" applyAlignment="1">
      <alignment horizontal="left" vertical="center" wrapText="1" indent="1"/>
    </xf>
    <xf numFmtId="0" fontId="9" fillId="4" borderId="38" xfId="0" applyFont="1" applyFill="1" applyBorder="1" applyAlignment="1">
      <alignment horizontal="left" vertical="center" wrapText="1" indent="1"/>
    </xf>
    <xf numFmtId="0" fontId="4" fillId="11" borderId="46" xfId="0" applyFont="1" applyFill="1" applyBorder="1" applyAlignment="1">
      <alignment horizontal="left" vertical="center" indent="1"/>
    </xf>
    <xf numFmtId="0" fontId="4" fillId="11" borderId="47" xfId="0" applyFont="1" applyFill="1" applyBorder="1" applyAlignment="1">
      <alignment horizontal="left" vertical="center" indent="1"/>
    </xf>
    <xf numFmtId="0" fontId="4" fillId="11" borderId="48" xfId="0" applyFont="1" applyFill="1" applyBorder="1" applyAlignment="1">
      <alignment horizontal="left" vertical="center" indent="1"/>
    </xf>
    <xf numFmtId="0" fontId="14" fillId="10" borderId="42" xfId="1" applyFont="1" applyFill="1" applyBorder="1" applyAlignment="1">
      <alignment horizontal="left" vertical="center" indent="1"/>
    </xf>
    <xf numFmtId="0" fontId="14" fillId="10" borderId="3" xfId="1" applyFont="1" applyFill="1" applyBorder="1" applyAlignment="1">
      <alignment horizontal="left" vertical="center" indent="1"/>
    </xf>
    <xf numFmtId="0" fontId="14" fillId="10" borderId="43" xfId="1" applyFont="1" applyFill="1" applyBorder="1" applyAlignment="1">
      <alignment horizontal="left" vertical="center" indent="1"/>
    </xf>
    <xf numFmtId="0" fontId="14" fillId="10" borderId="4" xfId="1" applyFont="1" applyFill="1" applyBorder="1" applyAlignment="1">
      <alignment horizontal="left" vertical="center" indent="1"/>
    </xf>
    <xf numFmtId="0" fontId="9" fillId="10" borderId="42" xfId="0" applyFont="1" applyFill="1" applyBorder="1" applyAlignment="1">
      <alignment horizontal="left" vertical="center" indent="1"/>
    </xf>
    <xf numFmtId="0" fontId="9" fillId="10" borderId="3" xfId="0" applyFont="1" applyFill="1" applyBorder="1" applyAlignment="1">
      <alignment horizontal="left" vertical="center" indent="1"/>
    </xf>
    <xf numFmtId="0" fontId="9" fillId="10" borderId="43" xfId="0" applyFont="1" applyFill="1" applyBorder="1" applyAlignment="1">
      <alignment horizontal="left" vertical="center" indent="1"/>
    </xf>
    <xf numFmtId="0" fontId="9" fillId="10" borderId="4" xfId="0" applyFont="1" applyFill="1" applyBorder="1" applyAlignment="1">
      <alignment horizontal="left" vertical="center" indent="1"/>
    </xf>
    <xf numFmtId="0" fontId="2" fillId="5" borderId="14" xfId="0" applyFont="1" applyFill="1" applyBorder="1" applyAlignment="1">
      <alignment horizontal="left" vertical="center" indent="1"/>
    </xf>
    <xf numFmtId="0" fontId="2" fillId="5" borderId="15" xfId="0" applyFont="1" applyFill="1" applyBorder="1" applyAlignment="1">
      <alignment horizontal="left" vertical="center" indent="1"/>
    </xf>
    <xf numFmtId="0" fontId="2" fillId="5" borderId="6" xfId="0" applyFont="1" applyFill="1" applyBorder="1" applyAlignment="1">
      <alignment horizontal="left" vertical="center" indent="1"/>
    </xf>
    <xf numFmtId="0" fontId="2" fillId="5" borderId="7" xfId="0" applyFont="1" applyFill="1" applyBorder="1" applyAlignment="1">
      <alignment horizontal="left" vertical="center" indent="1"/>
    </xf>
    <xf numFmtId="0" fontId="21" fillId="4" borderId="11" xfId="0" applyFont="1" applyFill="1" applyBorder="1" applyAlignment="1">
      <alignment horizontal="left" vertical="center" indent="1"/>
    </xf>
    <xf numFmtId="0" fontId="21" fillId="4" borderId="21" xfId="0" applyFont="1" applyFill="1" applyBorder="1" applyAlignment="1">
      <alignment horizontal="left" vertical="center" indent="1"/>
    </xf>
    <xf numFmtId="0" fontId="6" fillId="12" borderId="22" xfId="0" applyFont="1" applyFill="1" applyBorder="1" applyAlignment="1">
      <alignment horizontal="left" vertical="center" wrapText="1" indent="1"/>
    </xf>
    <xf numFmtId="0" fontId="6" fillId="12" borderId="12" xfId="0" applyFont="1" applyFill="1" applyBorder="1" applyAlignment="1">
      <alignment horizontal="left" vertical="center" wrapText="1" indent="1"/>
    </xf>
    <xf numFmtId="0" fontId="6" fillId="12" borderId="44" xfId="0" applyFont="1" applyFill="1" applyBorder="1" applyAlignment="1">
      <alignment horizontal="left" vertical="center" wrapText="1" indent="1"/>
    </xf>
    <xf numFmtId="0" fontId="6" fillId="12" borderId="23" xfId="0" applyFont="1" applyFill="1" applyBorder="1" applyAlignment="1">
      <alignment horizontal="left" vertical="center" wrapText="1" indent="1"/>
    </xf>
    <xf numFmtId="0" fontId="6" fillId="12" borderId="13" xfId="0" applyFont="1" applyFill="1" applyBorder="1" applyAlignment="1">
      <alignment horizontal="left" vertical="center" wrapText="1" indent="1"/>
    </xf>
    <xf numFmtId="0" fontId="6" fillId="12" borderId="45" xfId="0" applyFont="1" applyFill="1" applyBorder="1" applyAlignment="1">
      <alignment horizontal="left" vertical="center" wrapText="1" indent="1"/>
    </xf>
    <xf numFmtId="0" fontId="20" fillId="3" borderId="16" xfId="0" applyFont="1" applyFill="1" applyBorder="1" applyAlignment="1">
      <alignment horizontal="center" vertical="center"/>
    </xf>
    <xf numFmtId="0" fontId="9" fillId="4" borderId="39" xfId="0" applyFont="1" applyFill="1" applyBorder="1" applyAlignment="1">
      <alignment horizontal="left" vertical="center" wrapText="1" indent="1"/>
    </xf>
    <xf numFmtId="0" fontId="9" fillId="4" borderId="40" xfId="0" applyFont="1" applyFill="1" applyBorder="1" applyAlignment="1">
      <alignment horizontal="left" vertical="center" wrapText="1" indent="1"/>
    </xf>
    <xf numFmtId="0" fontId="9" fillId="4" borderId="41" xfId="0" applyFont="1" applyFill="1" applyBorder="1" applyAlignment="1">
      <alignment horizontal="left" vertical="center" wrapText="1" indent="1"/>
    </xf>
    <xf numFmtId="0" fontId="7" fillId="11" borderId="2" xfId="0" applyFont="1" applyFill="1" applyBorder="1" applyAlignment="1">
      <alignment horizontal="left" vertical="center" indent="1"/>
    </xf>
    <xf numFmtId="0" fontId="7" fillId="11" borderId="1" xfId="0" applyFont="1" applyFill="1" applyBorder="1" applyAlignment="1">
      <alignment horizontal="left" vertical="center" indent="1"/>
    </xf>
    <xf numFmtId="0" fontId="22" fillId="12" borderId="24" xfId="0" applyFont="1" applyFill="1" applyBorder="1" applyAlignment="1">
      <alignment horizontal="left" vertical="center" wrapText="1" indent="1"/>
    </xf>
    <xf numFmtId="0" fontId="22" fillId="12" borderId="1" xfId="0" applyFont="1" applyFill="1" applyBorder="1" applyAlignment="1">
      <alignment horizontal="left" vertical="center" wrapText="1" indent="1"/>
    </xf>
    <xf numFmtId="0" fontId="2" fillId="4" borderId="6" xfId="0" applyFont="1" applyFill="1" applyBorder="1" applyAlignment="1">
      <alignment horizontal="left" vertical="center" indent="1"/>
    </xf>
    <xf numFmtId="0" fontId="2" fillId="4" borderId="4" xfId="0" applyFont="1" applyFill="1" applyBorder="1" applyAlignment="1">
      <alignment horizontal="left" vertical="center" indent="1"/>
    </xf>
    <xf numFmtId="0" fontId="2" fillId="4" borderId="7" xfId="0" applyFont="1" applyFill="1" applyBorder="1" applyAlignment="1">
      <alignment horizontal="left" vertical="center" indent="1"/>
    </xf>
    <xf numFmtId="0" fontId="21" fillId="4" borderId="6" xfId="0" applyFont="1" applyFill="1" applyBorder="1" applyAlignment="1">
      <alignment horizontal="left" vertical="center" indent="1"/>
    </xf>
    <xf numFmtId="0" fontId="21" fillId="4" borderId="7" xfId="0" applyFont="1" applyFill="1" applyBorder="1" applyAlignment="1">
      <alignment horizontal="left" vertical="center" indent="1"/>
    </xf>
    <xf numFmtId="0" fontId="9" fillId="10" borderId="8" xfId="0" applyFont="1" applyFill="1" applyBorder="1" applyAlignment="1">
      <alignment horizontal="left" vertical="center" indent="1"/>
    </xf>
    <xf numFmtId="0" fontId="9" fillId="10" borderId="9" xfId="0" applyFont="1" applyFill="1" applyBorder="1" applyAlignment="1">
      <alignment horizontal="left" vertical="center" indent="1"/>
    </xf>
    <xf numFmtId="0" fontId="9" fillId="10" borderId="10" xfId="0" applyFont="1" applyFill="1" applyBorder="1" applyAlignment="1">
      <alignment horizontal="left" vertical="center" indent="1"/>
    </xf>
    <xf numFmtId="0" fontId="9" fillId="10" borderId="11" xfId="0" applyFont="1" applyFill="1" applyBorder="1" applyAlignment="1">
      <alignment horizontal="left" vertical="center" indent="1"/>
    </xf>
    <xf numFmtId="0" fontId="9" fillId="4" borderId="6" xfId="0" applyFont="1" applyFill="1" applyBorder="1" applyAlignment="1">
      <alignment horizontal="left" vertical="center" indent="1"/>
    </xf>
    <xf numFmtId="0" fontId="9" fillId="4" borderId="7" xfId="0" applyFont="1" applyFill="1" applyBorder="1" applyAlignment="1">
      <alignment horizontal="left" vertical="center" indent="1"/>
    </xf>
    <xf numFmtId="0" fontId="21" fillId="4" borderId="9" xfId="0" applyFont="1" applyFill="1" applyBorder="1" applyAlignment="1">
      <alignment horizontal="left" vertical="center" indent="1"/>
    </xf>
    <xf numFmtId="0" fontId="21" fillId="4" borderId="20" xfId="0" applyFont="1" applyFill="1" applyBorder="1" applyAlignment="1">
      <alignment horizontal="left" vertical="center" indent="1"/>
    </xf>
    <xf numFmtId="0" fontId="2" fillId="12" borderId="5" xfId="0" applyFont="1" applyFill="1" applyBorder="1" applyAlignment="1">
      <alignment horizontal="left" vertical="center" indent="1"/>
    </xf>
    <xf numFmtId="0" fontId="21" fillId="4" borderId="18" xfId="0" applyFont="1" applyFill="1" applyBorder="1" applyAlignment="1">
      <alignment horizontal="left" vertical="center" indent="1"/>
    </xf>
    <xf numFmtId="0" fontId="2" fillId="12" borderId="18" xfId="0" applyFont="1" applyFill="1" applyBorder="1" applyAlignment="1">
      <alignment horizontal="left" vertical="center" indent="1"/>
    </xf>
    <xf numFmtId="0" fontId="10" fillId="10" borderId="1" xfId="2" applyFont="1" applyFill="1" applyAlignment="1">
      <alignment horizontal="right" vertical="center"/>
    </xf>
    <xf numFmtId="0" fontId="3" fillId="10" borderId="2" xfId="3" applyFont="1" applyFill="1" applyBorder="1" applyAlignment="1">
      <alignment horizontal="left" vertical="center" wrapText="1" indent="1"/>
    </xf>
    <xf numFmtId="0" fontId="3" fillId="10" borderId="1" xfId="3" applyFont="1" applyFill="1" applyBorder="1" applyAlignment="1">
      <alignment horizontal="left" vertical="center" wrapText="1" indent="1"/>
    </xf>
  </cellXfs>
  <cellStyles count="4">
    <cellStyle name="Hyperlink" xfId="1" builtinId="8"/>
    <cellStyle name="Hyperlink 2" xfId="3" xr:uid="{B8D34CCE-DA96-453F-9D0E-5F2C9C6DED91}"/>
    <cellStyle name="Normal" xfId="0" builtinId="0"/>
    <cellStyle name="Normal 2" xfId="2" xr:uid="{61D5897D-40FB-4D23-BFEB-B5EBAAD51686}"/>
  </cellStyles>
  <dxfs count="18">
    <dxf>
      <fill>
        <patternFill patternType="solid">
          <fgColor rgb="FFFCE4D6"/>
        </patternFill>
      </fill>
    </dxf>
    <dxf>
      <fill>
        <patternFill patternType="solid">
          <fgColor rgb="FFEDEDED"/>
        </patternFill>
      </fill>
    </dxf>
    <dxf>
      <fill>
        <patternFill patternType="solid">
          <fgColor rgb="FFFFF4D5"/>
        </patternFill>
      </fill>
    </dxf>
    <dxf>
      <fill>
        <patternFill patternType="solid">
          <fgColor rgb="FFE8F2E2"/>
        </patternFill>
      </fill>
    </dxf>
    <dxf>
      <fill>
        <patternFill patternType="solid">
          <fgColor rgb="FFFCE4D6"/>
        </patternFill>
      </fill>
    </dxf>
    <dxf>
      <fill>
        <patternFill patternType="solid">
          <fgColor rgb="FFEDEDED"/>
        </patternFill>
      </fill>
    </dxf>
    <dxf>
      <fill>
        <patternFill patternType="solid">
          <fgColor rgb="FFFFF4D5"/>
        </patternFill>
      </fill>
    </dxf>
    <dxf>
      <fill>
        <patternFill patternType="solid">
          <fgColor rgb="FFE8F2E2"/>
        </patternFill>
      </fill>
    </dxf>
    <dxf>
      <fill>
        <patternFill patternType="solid">
          <fgColor rgb="FFFCE4D6"/>
        </patternFill>
      </fill>
    </dxf>
    <dxf>
      <fill>
        <patternFill patternType="solid">
          <fgColor rgb="FFFCE4D6"/>
        </patternFill>
      </fill>
    </dxf>
    <dxf>
      <fill>
        <patternFill patternType="solid">
          <fgColor rgb="FFFFF4D5"/>
        </patternFill>
      </fill>
    </dxf>
    <dxf>
      <fill>
        <patternFill patternType="solid">
          <fgColor rgb="FFE8F2E2"/>
        </patternFill>
      </fill>
    </dxf>
    <dxf>
      <fill>
        <patternFill patternType="solid">
          <fgColor rgb="FFFCE4D6"/>
        </patternFill>
      </fill>
    </dxf>
    <dxf>
      <fill>
        <patternFill patternType="solid">
          <fgColor rgb="FFFFF4D5"/>
        </patternFill>
      </fill>
    </dxf>
    <dxf>
      <fill>
        <patternFill patternType="solid">
          <fgColor rgb="FFE8F2E2"/>
        </patternFill>
      </fill>
    </dxf>
    <dxf>
      <fill>
        <patternFill patternType="solid">
          <fgColor rgb="FFFCE4D6"/>
        </patternFill>
      </fill>
    </dxf>
    <dxf>
      <fill>
        <patternFill patternType="solid">
          <fgColor rgb="FFFFF4D5"/>
        </patternFill>
      </fill>
    </dxf>
    <dxf>
      <fill>
        <patternFill patternType="solid">
          <fgColor rgb="FFE8F2E2"/>
        </patternFill>
      </fill>
    </dxf>
  </dxfs>
  <tableStyles count="0" defaultTableStyle="TableStyleMedium9" defaultPivotStyle="PivotStyleLight16"/>
  <colors>
    <mruColors>
      <color rgb="FF0066FF"/>
      <color rgb="FFEBF3FF"/>
      <color rgb="FF93BFFF"/>
      <color rgb="FFF5F5EF"/>
      <color rgb="FFFFF7E6"/>
      <color rgb="FFE8F2E2"/>
      <color rgb="FFFFC9C9"/>
      <color rgb="FF464632"/>
      <color rgb="FF5399FF"/>
      <color rgb="FFDDF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layoutTarget val="inner"/>
          <c:xMode val="edge"/>
          <c:yMode val="edge"/>
          <c:x val="6.8077043506872964E-2"/>
          <c:y val="0.12173915513239356"/>
          <c:w val="0.91020681700648698"/>
          <c:h val="0.68437996817527602"/>
        </c:manualLayout>
      </c:layout>
      <c:barChart>
        <c:barDir val="bar"/>
        <c:grouping val="clustered"/>
        <c:varyColors val="1"/>
        <c:ser>
          <c:idx val="0"/>
          <c:order val="0"/>
          <c:tx>
            <c:strRef>
              <c:f>'Main Calculator'!$P$8</c:f>
              <c:strCache>
                <c:ptCount val="1"/>
                <c:pt idx="0">
                  <c:v>Slope numeric</c:v>
                </c:pt>
              </c:strCache>
            </c:strRef>
          </c:tx>
          <c:spPr>
            <a:solidFill>
              <a:srgbClr val="5399FF"/>
            </a:solidFill>
            <a:ln>
              <a:noFill/>
              <a:prstDash val="solid"/>
            </a:ln>
          </c:spPr>
          <c:invertIfNegative val="1"/>
          <c:dPt>
            <c:idx val="3"/>
            <c:invertIfNegative val="1"/>
            <c:bubble3D val="0"/>
            <c:spPr>
              <a:solidFill>
                <a:srgbClr val="FFC9C9"/>
              </a:solidFill>
              <a:ln>
                <a:noFill/>
                <a:prstDash val="solid"/>
              </a:ln>
            </c:spPr>
            <c:extLst>
              <c:ext xmlns:c16="http://schemas.microsoft.com/office/drawing/2014/chart" uri="{C3380CC4-5D6E-409C-BE32-E72D297353CC}">
                <c16:uniqueId val="{00000001-BBE2-48D4-921E-94077AB30E8C}"/>
              </c:ext>
            </c:extLst>
          </c:dPt>
          <c:cat>
            <c:strRef>
              <c:f>'Main Calculator'!$O$9:$O$13</c:f>
              <c:strCache>
                <c:ptCount val="5"/>
                <c:pt idx="0">
                  <c:v>Base</c:v>
                </c:pt>
                <c:pt idx="1">
                  <c:v>Steeper</c:v>
                </c:pt>
                <c:pt idx="2">
                  <c:v>Flatter</c:v>
                </c:pt>
                <c:pt idx="3">
                  <c:v>Negative</c:v>
                </c:pt>
                <c:pt idx="4">
                  <c:v>Vertical</c:v>
                </c:pt>
              </c:strCache>
            </c:strRef>
          </c:cat>
          <c:val>
            <c:numRef>
              <c:f>'Main Calculator'!$P$9:$P$13</c:f>
              <c:numCache>
                <c:formatCode>General</c:formatCode>
                <c:ptCount val="5"/>
                <c:pt idx="0">
                  <c:v>3</c:v>
                </c:pt>
                <c:pt idx="1">
                  <c:v>5</c:v>
                </c:pt>
                <c:pt idx="2">
                  <c:v>1</c:v>
                </c:pt>
                <c:pt idx="3">
                  <c:v>-1</c:v>
                </c:pt>
                <c:pt idx="4">
                  <c:v>0</c:v>
                </c:pt>
              </c:numCache>
            </c:numRef>
          </c:val>
          <c:extLst>
            <c:ext xmlns:c14="http://schemas.microsoft.com/office/drawing/2007/8/2/chart" uri="{6F2FDCE9-48DA-4B69-8628-5D25D57E5C99}">
              <c14:invertSolidFillFmt>
                <c14:spPr xmlns:c14="http://schemas.microsoft.com/office/drawing/2007/8/2/chart">
                  <a:solidFill>
                    <a:srgbClr val="FFFFFF"/>
                  </a:solidFill>
                  <a:ln>
                    <a:noFill/>
                    <a:prstDash val="solid"/>
                  </a:ln>
                </c14:spPr>
              </c14:invertSolidFillFmt>
            </c:ext>
            <c:ext xmlns:c16="http://schemas.microsoft.com/office/drawing/2014/chart" uri="{C3380CC4-5D6E-409C-BE32-E72D297353CC}">
              <c16:uniqueId val="{00000000-BBE2-48D4-921E-94077AB30E8C}"/>
            </c:ext>
          </c:extLst>
        </c:ser>
        <c:dLbls>
          <c:showLegendKey val="0"/>
          <c:showVal val="0"/>
          <c:showCatName val="0"/>
          <c:showSerName val="0"/>
          <c:showPercent val="0"/>
          <c:showBubbleSize val="0"/>
        </c:dLbls>
        <c:gapWidth val="150"/>
        <c:axId val="10"/>
        <c:axId val="100"/>
      </c:barChart>
      <c:catAx>
        <c:axId val="10"/>
        <c:scaling>
          <c:orientation val="minMax"/>
        </c:scaling>
        <c:delete val="0"/>
        <c:axPos val="l"/>
        <c:title>
          <c:tx>
            <c:rich>
              <a:bodyPr/>
              <a:lstStyle/>
              <a:p>
                <a:pPr>
                  <a:defRPr sz="1200"/>
                </a:pPr>
                <a:r>
                  <a:rPr lang="en-US" sz="1200"/>
                  <a:t>Scenario</a:t>
                </a:r>
              </a:p>
            </c:rich>
          </c:tx>
          <c:layout>
            <c:manualLayout>
              <c:xMode val="edge"/>
              <c:yMode val="edge"/>
              <c:x val="2.2666254679814861E-2"/>
              <c:y val="0.399463836476871"/>
            </c:manualLayout>
          </c:layout>
          <c:overlay val="1"/>
        </c:title>
        <c:numFmt formatCode="General" sourceLinked="1"/>
        <c:majorTickMark val="out"/>
        <c:minorTickMark val="none"/>
        <c:tickLblPos val="nextTo"/>
        <c:spPr>
          <a:ln>
            <a:solidFill>
              <a:schemeClr val="bg1">
                <a:lumMod val="75000"/>
              </a:schemeClr>
            </a:solidFill>
          </a:ln>
        </c:spPr>
        <c:crossAx val="100"/>
        <c:crosses val="autoZero"/>
        <c:auto val="1"/>
        <c:lblAlgn val="ctr"/>
        <c:lblOffset val="100"/>
        <c:noMultiLvlLbl val="1"/>
      </c:catAx>
      <c:valAx>
        <c:axId val="100"/>
        <c:scaling>
          <c:orientation val="minMax"/>
        </c:scaling>
        <c:delete val="0"/>
        <c:axPos val="b"/>
        <c:majorGridlines>
          <c:spPr>
            <a:ln>
              <a:solidFill>
                <a:schemeClr val="bg1">
                  <a:lumMod val="75000"/>
                </a:schemeClr>
              </a:solidFill>
            </a:ln>
          </c:spPr>
        </c:majorGridlines>
        <c:title>
          <c:tx>
            <c:rich>
              <a:bodyPr/>
              <a:lstStyle/>
              <a:p>
                <a:pPr>
                  <a:defRPr sz="1200"/>
                </a:pPr>
                <a:r>
                  <a:rPr lang="en-US" sz="1200"/>
                  <a:t>Slope (m)</a:t>
                </a:r>
              </a:p>
            </c:rich>
          </c:tx>
          <c:overlay val="1"/>
        </c:title>
        <c:numFmt formatCode="#,##0;[Red]#,##0" sourceLinked="0"/>
        <c:majorTickMark val="out"/>
        <c:minorTickMark val="none"/>
        <c:tickLblPos val="nextTo"/>
        <c:spPr>
          <a:ln>
            <a:solidFill>
              <a:schemeClr val="bg1">
                <a:lumMod val="75000"/>
              </a:schemeClr>
            </a:solidFill>
          </a:ln>
        </c:spPr>
        <c:crossAx val="10"/>
        <c:crosses val="autoZero"/>
        <c:crossBetween val="between"/>
      </c:valAx>
      <c:spPr>
        <a:noFill/>
        <a:ln>
          <a:noFill/>
        </a:ln>
      </c:spPr>
    </c:plotArea>
    <c:plotVisOnly val="0"/>
    <c:dispBlanksAs val="zero"/>
    <c:showDLblsOverMax val="1"/>
  </c:chart>
  <c:spPr>
    <a:noFill/>
    <a:ln>
      <a:noFill/>
    </a:ln>
  </c:spPr>
  <c:txPr>
    <a:bodyPr/>
    <a:lstStyle/>
    <a:p>
      <a:pPr>
        <a:defRPr>
          <a:latin typeface="Century Gothic" panose="020B0502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715952055540523E-2"/>
          <c:y val="5.0302685875598586E-2"/>
          <c:w val="0.88229206114042369"/>
          <c:h val="0.7908872090646295"/>
        </c:manualLayout>
      </c:layout>
      <c:barChart>
        <c:barDir val="col"/>
        <c:grouping val="clustered"/>
        <c:varyColors val="1"/>
        <c:ser>
          <c:idx val="0"/>
          <c:order val="0"/>
          <c:spPr>
            <a:solidFill>
              <a:schemeClr val="accent6">
                <a:lumMod val="60000"/>
                <a:lumOff val="40000"/>
              </a:schemeClr>
            </a:solidFill>
            <a:ln w="22000">
              <a:noFill/>
              <a:prstDash val="solid"/>
            </a:ln>
          </c:spPr>
          <c:invertIfNegative val="0"/>
          <c:val>
            <c:numRef>
              <c:f>'Main Calculator'!$M$9:$N$9</c:f>
              <c:numCache>
                <c:formatCode>General</c:formatCode>
                <c:ptCount val="2"/>
                <c:pt idx="0">
                  <c:v>1</c:v>
                </c:pt>
                <c:pt idx="1">
                  <c:v>2</c:v>
                </c:pt>
              </c:numCache>
            </c:numRef>
          </c:val>
          <c:extLst>
            <c:ext xmlns:c16="http://schemas.microsoft.com/office/drawing/2014/chart" uri="{C3380CC4-5D6E-409C-BE32-E72D297353CC}">
              <c16:uniqueId val="{00000000-B3C5-4560-A8F6-9E51164C3EFE}"/>
            </c:ext>
          </c:extLst>
        </c:ser>
        <c:ser>
          <c:idx val="1"/>
          <c:order val="1"/>
          <c:spPr>
            <a:solidFill>
              <a:srgbClr val="5399FF"/>
            </a:solidFill>
            <a:ln>
              <a:noFill/>
            </a:ln>
          </c:spPr>
          <c:invertIfNegative val="0"/>
          <c:val>
            <c:numRef>
              <c:f>'Main Calculator'!$M$10:$N$10</c:f>
              <c:numCache>
                <c:formatCode>General</c:formatCode>
                <c:ptCount val="2"/>
                <c:pt idx="0">
                  <c:v>3</c:v>
                </c:pt>
                <c:pt idx="1">
                  <c:v>8</c:v>
                </c:pt>
              </c:numCache>
            </c:numRef>
          </c:val>
          <c:extLst>
            <c:ext xmlns:c16="http://schemas.microsoft.com/office/drawing/2014/chart" uri="{C3380CC4-5D6E-409C-BE32-E72D297353CC}">
              <c16:uniqueId val="{00000001-B3C5-4560-A8F6-9E51164C3EFE}"/>
            </c:ext>
          </c:extLst>
        </c:ser>
        <c:dLbls>
          <c:showLegendKey val="0"/>
          <c:showVal val="0"/>
          <c:showCatName val="0"/>
          <c:showSerName val="0"/>
          <c:showPercent val="0"/>
          <c:showBubbleSize val="0"/>
        </c:dLbls>
        <c:gapWidth val="274"/>
        <c:axId val="10"/>
        <c:axId val="20"/>
      </c:barChart>
      <c:catAx>
        <c:axId val="10"/>
        <c:scaling>
          <c:orientation val="minMax"/>
        </c:scaling>
        <c:delete val="0"/>
        <c:axPos val="b"/>
        <c:title>
          <c:tx>
            <c:rich>
              <a:bodyPr/>
              <a:lstStyle/>
              <a:p>
                <a:pPr>
                  <a:defRPr sz="1400"/>
                </a:pPr>
                <a:r>
                  <a:rPr lang="en-US" sz="1400"/>
                  <a:t>x</a:t>
                </a:r>
              </a:p>
            </c:rich>
          </c:tx>
          <c:layout>
            <c:manualLayout>
              <c:xMode val="edge"/>
              <c:yMode val="edge"/>
              <c:x val="0.52310722292379752"/>
              <c:y val="0.88557585590946497"/>
            </c:manualLayout>
          </c:layout>
          <c:overlay val="1"/>
        </c:title>
        <c:numFmt formatCode="General" sourceLinked="1"/>
        <c:majorTickMark val="out"/>
        <c:minorTickMark val="none"/>
        <c:tickLblPos val="nextTo"/>
        <c:spPr>
          <a:ln>
            <a:solidFill>
              <a:schemeClr val="bg1">
                <a:lumMod val="75000"/>
              </a:schemeClr>
            </a:solidFill>
          </a:ln>
        </c:spPr>
        <c:crossAx val="20"/>
        <c:crosses val="autoZero"/>
        <c:auto val="1"/>
        <c:lblAlgn val="ctr"/>
        <c:lblOffset val="100"/>
        <c:tickMarkSkip val="1"/>
        <c:noMultiLvlLbl val="0"/>
      </c:catAx>
      <c:valAx>
        <c:axId val="20"/>
        <c:scaling>
          <c:orientation val="minMax"/>
        </c:scaling>
        <c:delete val="0"/>
        <c:axPos val="l"/>
        <c:majorGridlines>
          <c:spPr>
            <a:ln>
              <a:solidFill>
                <a:schemeClr val="bg1">
                  <a:lumMod val="75000"/>
                </a:schemeClr>
              </a:solidFill>
            </a:ln>
          </c:spPr>
        </c:majorGridlines>
        <c:title>
          <c:tx>
            <c:rich>
              <a:bodyPr/>
              <a:lstStyle/>
              <a:p>
                <a:pPr>
                  <a:defRPr sz="1400"/>
                </a:pPr>
                <a:r>
                  <a:rPr lang="en-US" sz="1400"/>
                  <a:t>y</a:t>
                </a:r>
              </a:p>
            </c:rich>
          </c:tx>
          <c:layout>
            <c:manualLayout>
              <c:xMode val="edge"/>
              <c:yMode val="edge"/>
              <c:x val="3.6808027013909188E-3"/>
              <c:y val="0.41828979715462078"/>
            </c:manualLayout>
          </c:layout>
          <c:overlay val="1"/>
        </c:title>
        <c:numFmt formatCode="General" sourceLinked="1"/>
        <c:majorTickMark val="out"/>
        <c:minorTickMark val="none"/>
        <c:tickLblPos val="nextTo"/>
        <c:spPr>
          <a:ln>
            <a:solidFill>
              <a:schemeClr val="bg1">
                <a:lumMod val="75000"/>
              </a:schemeClr>
            </a:solidFill>
          </a:ln>
        </c:spPr>
        <c:crossAx val="10"/>
        <c:crosses val="autoZero"/>
        <c:crossBetween val="between"/>
      </c:valAx>
      <c:spPr>
        <a:noFill/>
        <a:ln>
          <a:noFill/>
        </a:ln>
      </c:spPr>
    </c:plotArea>
    <c:plotVisOnly val="0"/>
    <c:dispBlanksAs val="zero"/>
    <c:showDLblsOverMax val="1"/>
  </c:chart>
  <c:spPr>
    <a:noFill/>
    <a:ln>
      <a:noFill/>
    </a:ln>
  </c:spPr>
  <c:txPr>
    <a:bodyPr/>
    <a:lstStyle/>
    <a:p>
      <a:pPr>
        <a:defRPr>
          <a:latin typeface="Century Gothic" panose="020B0502020202020204" pitchFamily="34"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3174</xdr:colOff>
      <xdr:row>15</xdr:row>
      <xdr:rowOff>0</xdr:rowOff>
    </xdr:from>
    <xdr:ext cx="6783388" cy="2816678"/>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6</xdr:col>
      <xdr:colOff>23812</xdr:colOff>
      <xdr:row>15</xdr:row>
      <xdr:rowOff>21997</xdr:rowOff>
    </xdr:from>
    <xdr:ext cx="5572126" cy="2803071"/>
    <xdr:graphicFrame macro="">
      <xdr:nvGraphicFramePr>
        <xdr:cNvPr id="5" name="Chart 4">
          <a:extLst>
            <a:ext uri="{FF2B5EF4-FFF2-40B4-BE49-F238E27FC236}">
              <a16:creationId xmlns:a16="http://schemas.microsoft.com/office/drawing/2014/main" id="{8D8388C8-4C01-4893-994B-ED418D423C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persons/person.xml><?xml version="1.0" encoding="utf-8"?>
<personList xmlns="http://schemas.microsoft.com/office/spreadsheetml/2018/threadedcomments" xmlns:x="http://schemas.openxmlformats.org/spreadsheetml/2006/main">
  <person displayName="shahsawar shahidraza" id="{666BCA24-5D6F-4A9F-A5B4-DE2D2B5677BF}" userId="b7af26ef808ec3a4" providerId="Windows Live"/>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6-08-25T10:32:14.32" personId="{666BCA24-5D6F-4A9F-A5B4-DE2D2B5677BF}" id="{01556C5A-E963-4E43-B67C-D7EED379D9ED}">
    <text>Section intro: explains the workbook's purpose — calculating slope, angle, distance, midpoint, intercepts, equation forms, grade, and scenario comparisons for two points.</text>
  </threadedComment>
  <threadedComment ref="B13" dT="2026-08-25T10:32:14.35" personId="{666BCA24-5D6F-4A9F-A5B4-DE2D2B5677BF}" id="{6EEEC16F-1ECC-4208-A3F4-4865F6FCB9B8}">
    <text>Section: Quick Start — step-by-step guide (rows 15-20) for using the calculator, from checking output settings to comparing scenarios.</text>
  </threadedComment>
  <threadedComment ref="G13" dT="2026-08-25T10:32:14.35" personId="{666BCA24-5D6F-4A9F-A5B4-DE2D2B5677BF}" id="{32033429-A489-40FB-B827-045ACB35C2F1}">
    <text>Section: Calculator Configuration — the input settings below (rows 15-20) control precision, rounding, angle convention, unit, and validation tolerance used across the workbook.</text>
  </threadedComment>
  <threadedComment ref="B23" dT="2026-08-25T10:32:14.35" personId="{666BCA24-5D6F-4A9F-A5B4-DE2D2B5677BF}" id="{9FB4B444-C7BA-4006-AB56-4B0BC595FF8F}">
    <text>Section: Input/Formula/Status Legend — defines the color-coding used throughout the workbook (yellow = input, white = formula, statuses below).</text>
  </threadedComment>
  <threadedComment ref="G23" dT="2026-08-25T10:32:14.36" personId="{666BCA24-5D6F-4A9F-A5B4-DE2D2B5677BF}" id="{205FAA57-9FF1-4958-8AE3-FF273863A1FB}">
    <text>Section: Workbook QA Status — automated checks below (rows 25-29) validate the slope/point calculations for consistency and flag PASS/REVIEW/INVALID states.</text>
  </threadedComment>
  <threadedComment ref="B33" dT="2026-08-25T10:32:14.36" personId="{666BCA24-5D6F-4A9F-A5B4-DE2D2B5677BF}" id="{0D7CD3D6-BBA1-49E0-AE85-63F919836A83}">
    <text>Section: Formula &amp; Method Reference — lists the exact formula used for each metric (Run, Rise, Slope, Angle, Distance) in the table below.</text>
  </threadedComment>
  <threadedComment ref="G33" dT="2026-08-25T10:32:14.37" personId="{666BCA24-5D6F-4A9F-A5B4-DE2D2B5677BF}" id="{68EDD2F4-86D0-4E07-BB93-8496ABD9ABF6}">
    <text>Section: Notes/Interpretation — explains how to interpret each metric's result and any special mathematical cases (e.g., vertical/horizontal lines).</text>
  </threadedComment>
  <threadedComment ref="B48" dT="2026-08-25T10:32:14.37" personId="{666BCA24-5D6F-4A9F-A5B4-DE2D2B5677BF}" id="{21DB0C16-AB02-4617-B648-748495BF6ACF}">
    <text>Section: Topic Reference &amp; Useful Notes — background notes on slope types, units, and rounding conventions used in the workbook.</text>
  </threadedComment>
  <threadedComment ref="B58" dT="2026-08-25T10:32:14.37" personId="{666BCA24-5D6F-4A9F-A5B4-DE2D2B5677BF}" id="{ABAEA8E9-CFE9-4523-A8EA-C4C3E3194F00}">
    <text>Section: Sources &amp; Internal QA — links to the primary product reference and mathematical definitions used to build this workbook.</text>
  </threadedComment>
  <threadedComment ref="B65" dT="2026-08-25T10:32:14.37" personId="{666BCA24-5D6F-4A9F-A5B4-DE2D2B5677BF}" id="{77537308-64C0-4CE4-9C69-6410E95361F1}">
    <text>Section: Lists &amp; Dropdown Sources — the source lists (rows 67-70) feeding the dropdown selectors for rounding and angle options.</text>
  </threadedComment>
  <threadedComment ref="B72" dT="2026-08-25T10:32:14.37" personId="{666BCA24-5D6F-4A9F-A5B4-DE2D2B5677BF}" id="{EC6B2A2C-136C-4488-B14B-0FE80D250B6B}">
    <text>Reminder that the dropdown source lists above are meant to stay visible and editable, not hidden.</text>
  </threadedComment>
  <threadedComment ref="B74" dT="2026-08-25T10:32:14.38" personId="{666BCA24-5D6F-4A9F-A5B4-DE2D2B5677BF}" id="{1C6EE342-EEC8-4EF2-8A6A-B6675D011A35}">
    <text>Disclaimer: results depend on the entered coordinates, angle convention, tolerance, and rounding settings — use governing standards for engineering/regulated work.</text>
  </threadedComment>
</ThreadedComments>
</file>

<file path=xl/threadedComments/threadedComment2.xml><?xml version="1.0" encoding="utf-8"?>
<ThreadedComments xmlns="http://schemas.microsoft.com/office/spreadsheetml/2018/threadedcomments" xmlns:x="http://schemas.openxmlformats.org/spreadsheetml/2006/main">
  <threadedComment ref="B8" dT="2026-08-25T10:34:39.93" personId="{666BCA24-5D6F-4A9F-A5B4-DE2D2B5677BF}" id="{97F30D4B-0410-42FF-BFB5-797EFFA04189}">
    <text>Section: Dynamic Interpretation — plain-language summary below (rows 10-12) of the QA status and the line's slope/direction, auto-generated from the current inputs.</text>
  </threadedComment>
  <threadedComment ref="B14" dT="2026-08-25T10:34:39.94" personId="{666BCA24-5D6F-4A9F-A5B4-DE2D2B5677BF}" id="{F35F2820-F620-4B58-909C-15E91D41A139}">
    <text>Chart/section title: Scenario Slope Comparison — labels the chart comparing slope across the scenario rows below (B56:F63 area).</text>
  </threadedComment>
  <threadedComment ref="G14" dT="2026-08-25T10:34:39.95" personId="{666BCA24-5D6F-4A9F-A5B4-DE2D2B5677BF}" id="{A5CD4A23-6B8A-4956-932A-A8EE6A6E8BB8}">
    <text>Chart/section title: Line Through P1 and P2 — labels the chart visualizing the line between the two input points.</text>
  </threadedComment>
  <threadedComment ref="B28" dT="2026-08-25T10:34:39.96" personId="{666BCA24-5D6F-4A9F-A5B4-DE2D2B5677BF}" id="{881CF4EA-399C-4465-9D67-002842CB0B5A}">
    <text>Section: Calculation Breakdown &amp; Line Equations — full-precision breakdown of every metric (Run, Rise, Slope, Angle, Distance, etc.) in the table below (rows 30-42).</text>
  </threadedComment>
  <threadedComment ref="G28" dT="2026-08-25T10:34:39.97" personId="{666BCA24-5D6F-4A9F-A5B4-DE2D2B5677BF}" id="{462AC555-39EB-4945-9B64-537FF2DD29D1}">
    <text>Section: Equation Translations — shows the line's equation in slope-intercept, point-slope, and general standard forms (rows 30-32).</text>
  </threadedComment>
  <threadedComment ref="G34" dT="2026-08-25T10:34:39.97" personId="{666BCA24-5D6F-4A9F-A5B4-DE2D2B5677BF}" id="{E1D477FE-CBC8-42E4-842C-1C9D854EEBF7}">
    <text>Section: Input Control Panel — yellow input cells below (rows 37-40) where Point 1 and Point 2 coordinates are entered.</text>
  </threadedComment>
  <threadedComment ref="B44" dT="2026-08-25T10:34:39.98" personId="{666BCA24-5D6F-4A9F-A5B4-DE2D2B5677BF}" id="{BBB838EB-3F45-43E7-A9EF-E4EE7439E7D1}">
    <text>Section: Advanced Analysis — covers the Target/Reverse Solver (rows 46-50) and the Scenario Comparison table (rows 56-65) below.</text>
  </threadedComment>
  <threadedComment ref="G44" dT="2026-08-25T10:34:39.99" personId="{666BCA24-5D6F-4A9F-A5B4-DE2D2B5677BF}" id="{57CDE332-A2C9-462F-B988-E4C37EF9A70E}">
    <text>Section: Key Results — headline result cards below (rows 46-51) for slope, distance, midpoint, angle, grade, and slope type.</text>
  </threadedComment>
  <threadedComment ref="B55" dT="2026-08-25T10:34:40.01" personId="{666BCA24-5D6F-4A9F-A5B4-DE2D2B5677BF}" id="{F571BD1E-7054-4FF3-BF0D-6025771E43C9}">
    <text>Section: Scenario Comparison — Fix Point 1, Vary Point 2 — table below (rows 58-63) tests alternative Point 2 coordinates against the same Point 1.</text>
  </threadedComment>
  <threadedComment ref="B57" dT="2026-08-25T10:37:09.40" personId="{666BCA24-5D6F-4A9F-A5B4-DE2D2B5677BF}" id="{2B2023D9-9DD4-4D4A-A0E0-351493D54CC9}">
    <text>Column header: Scenario — name of each test case below (Base, Steeper, Flatter, Negative, Vertical) that pairs the fixed Point 1 with an alternative Point 2.</text>
  </threadedComment>
  <threadedComment ref="C57" dT="2026-08-25T10:37:09.41" personId="{666BCA24-5D6F-4A9F-A5B4-DE2D2B5677BF}" id="{1C578B22-3B00-4871-AC37-9001A8E40649}">
    <text>Column header: x₂ — the alternative Point 2 x-coordinate for this scenario (Point 1 stays fixed).</text>
  </threadedComment>
  <threadedComment ref="D57" dT="2026-08-25T10:37:09.43" personId="{666BCA24-5D6F-4A9F-A5B4-DE2D2B5677BF}" id="{110AB0AA-330A-4F3E-8973-35C393A38D0C}">
    <text>Column header: y₂ — the alternative Point 2 y-coordinate for this scenario.</text>
  </threadedComment>
  <threadedComment ref="E57" dT="2026-08-25T10:37:09.43" personId="{666BCA24-5D6F-4A9F-A5B4-DE2D2B5677BF}" id="{D82B8DA6-EC76-46D1-B25A-5327B20DDF3B}">
    <text>Column header: Rise — Δy for this scenario (y₂ minus the fixed Point 1 y₁).</text>
  </threadedComment>
  <threadedComment ref="F57" dT="2026-08-25T10:37:09.43" personId="{666BCA24-5D6F-4A9F-A5B4-DE2D2B5677BF}" id="{DAA222EA-90CE-4532-8796-9EC9A6572495}">
    <text>Column header: Run — Δx for this scenario (x₂ minus the fixed Point 1 x₁).</text>
  </threadedComment>
  <threadedComment ref="G57" dT="2026-08-25T10:37:09.45" personId="{666BCA24-5D6F-4A9F-A5B4-DE2D2B5677BF}" id="{23358D6F-8741-4CD7-B7F5-F015452D3E09}">
    <text>Column header: Slope — Rise ÷ Run for this scenario's line; shows "Undefined" or "No line" for vertical/degenerate cases.</text>
  </threadedComment>
  <threadedComment ref="H57" dT="2026-08-25T10:37:09.45" personId="{666BCA24-5D6F-4A9F-A5B4-DE2D2B5677BF}" id="{BC71227B-2469-4141-BF08-74EAF101B6BF}">
    <text>Column header: Angle — this scenario's line angle in degrees, per the angle convention set in Settings &amp; Guide.</text>
  </threadedComment>
  <threadedComment ref="I57" dT="2026-08-25T10:37:09.47" personId="{666BCA24-5D6F-4A9F-A5B4-DE2D2B5677BF}" id="{D3B1B7C8-168E-48E0-A5A2-63D86831DAF0}">
    <text>Column header: Distance — straight-line distance between the fixed Point 1 and this scenario's Point 2.</text>
  </threadedComment>
  <threadedComment ref="J57" dT="2026-08-25T10:37:09.47" personId="{666BCA24-5D6F-4A9F-A5B4-DE2D2B5677BF}" id="{7A46895C-14F0-42AC-915F-418EA67E11DD}">
    <text>Column header: Type — classifies the scenario's slope as Positive, Negative, Horizontal, Vertical, or Degenerate.</text>
  </threadedComment>
  <threadedComment ref="B66" dT="2026-08-25T10:35:36.31" personId="{666BCA24-5D6F-4A9F-A5B4-DE2D2B5677BF}" id="{37A23F63-FD53-4549-AB9A-D3059293FD7B}">
    <text>Section: Calculation Support &amp; QA — Full-Precision Formulas — full-precision helper values below (from row 69) used to cross-check the rounded results shown elsewhere.</text>
  </threadedComment>
  <threadedComment ref="B68" dT="2026-08-25T10:37:09.47" personId="{666BCA24-5D6F-4A9F-A5B4-DE2D2B5677BF}" id="{10E8E782-8362-47FC-B4A6-7CA959BCE5F9}">
    <text>Column header: Support value — names the raw helper quantity reported in each row below (e.g., Run Δx).</text>
  </threadedComment>
  <threadedComment ref="C68" dT="2026-08-25T10:37:09.48" personId="{666BCA24-5D6F-4A9F-A5B4-DE2D2B5677BF}" id="{5784B780-645E-4D07-BA73-8262C35E5BC4}">
    <text>Column header: Full-precision result / status — the unrounded value (or status text) for that helper quantity, used to cross-check the rounded results shown elsewhere.</text>
  </threadedComment>
  <threadedComment ref="D68" dT="2026-08-25T10:37:09.48" personId="{666BCA24-5D6F-4A9F-A5B4-DE2D2B5677BF}" id="{3296479A-7DA1-4E3E-AC82-47F6D4633653}">
    <text>Column header: Purpose — plain-language explanation of what each support value represents and how it's used in the model.</text>
  </threadedComment>
  <threadedComment ref="G68" dT="2026-08-25T10:37:09.47" personId="{666BCA24-5D6F-4A9F-A5B4-DE2D2B5677BF}" id="{BE947A16-8DDF-4F30-9900-B6B8B83E83D8}">
    <text>Column header: Support value — names the raw helper quantity reported in each row below (e.g., Run Δx).</text>
  </threadedComment>
  <threadedComment ref="H68" dT="2026-08-25T10:37:09.48" personId="{666BCA24-5D6F-4A9F-A5B4-DE2D2B5677BF}" id="{E8021A74-9AA4-49D4-AB07-2891E36DE79B}">
    <text>Column header: Full-precision result / status — the unrounded value (or status text) for that helper quantity, used to cross-check the rounded results shown elsewhere.</text>
  </threadedComment>
  <threadedComment ref="I68" dT="2026-08-25T10:37:09.48" personId="{666BCA24-5D6F-4A9F-A5B4-DE2D2B5677BF}" id="{DB8D4E11-79A1-4BEC-A603-30CF33B388BB}">
    <text>Column header: Purpose — plain-language explanation of what each support value represents and how it's used in the model.</text>
  </threadedComment>
</ThreadedComments>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8">
    <wetp:webextensionref xmlns:r="http://schemas.openxmlformats.org/officeDocument/2006/relationships" r:id="rId1"/>
  </wetp:taskpane>
  <wetp:taskpane dockstate="right" visibility="0" width="350" row="3">
    <wetp:webextensionref xmlns:r="http://schemas.openxmlformats.org/officeDocument/2006/relationships" r:id="rId2"/>
  </wetp:taskpane>
</wetp:taskpanes>
</file>

<file path=xl/webextensions/webextension1.xml><?xml version="1.0" encoding="utf-8"?>
<we:webextension xmlns:we="http://schemas.microsoft.com/office/webextensions/webextension/2010/11" id="{19EE0799-BFAA-4833-9E14-1A1D8AB38BB6}">
  <we:reference id="wa200009404" version="1.0.0.8" store="en-US" storeType="OMEX"/>
  <we:alternateReferences>
    <we:reference id="wa200009404" version="1.0.0.8" store="" storeType="OMEX"/>
  </we:alternateReferences>
  <we:properties>
    <we:property name="claude.fileId" value="&quot;2213f9dc-d8cc-4e21-8e43-f7dafe9af4f8&quot;"/>
  </we:properties>
  <we:bindings/>
  <we:snapshot xmlns:r="http://schemas.openxmlformats.org/officeDocument/2006/relationships"/>
</we:webextension>
</file>

<file path=xl/webextensions/webextension2.xml><?xml version="1.0" encoding="utf-8"?>
<we:webextension xmlns:we="http://schemas.microsoft.com/office/webextensions/webextension/2010/11" id="{70F5BCD3-C2E9-4BEB-ABFF-4D6FA5C03F4B}">
  <we:reference id="wa200010725" version="1.0.0.1" store="en-US" storeType="OMEX"/>
  <we:alternateReferences>
    <we:reference id="wa200010725" version="1.0.0.1" store="WA200010725" storeType="OMEX"/>
  </we:alternateReferences>
  <we:properties>
    <we:property name="claude.fileId" value="&quot;0c8c5d95-7f73-4182-9349-973d485b7417&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mathworld.wolfram.com/Line.html" TargetMode="External"/><Relationship Id="rId7" Type="http://schemas.openxmlformats.org/officeDocument/2006/relationships/vmlDrawing" Target="../drawings/vmlDrawing1.vml"/><Relationship Id="rId2" Type="http://schemas.openxmlformats.org/officeDocument/2006/relationships/hyperlink" Target="https://mathworld.wolfram.com/Slope.html" TargetMode="External"/><Relationship Id="rId1" Type="http://schemas.openxmlformats.org/officeDocument/2006/relationships/hyperlink" Target="https://dothecalculation.com/calculators/slope-calculator" TargetMode="External"/><Relationship Id="rId6" Type="http://schemas.openxmlformats.org/officeDocument/2006/relationships/printerSettings" Target="../printerSettings/printerSettings1.bin"/><Relationship Id="rId5" Type="http://schemas.openxmlformats.org/officeDocument/2006/relationships/hyperlink" Target="https://dothecalculation.com/" TargetMode="External"/><Relationship Id="rId4" Type="http://schemas.openxmlformats.org/officeDocument/2006/relationships/hyperlink" Target="https://mathworld.wolfram.com/Two-PointForm.html" TargetMode="External"/><Relationship Id="rId9"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dothecalculation.com/"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hyperlink" Target="https://www.dothecalculation.com/terms" TargetMode="External"/><Relationship Id="rId2" Type="http://schemas.openxmlformats.org/officeDocument/2006/relationships/hyperlink" Target="https://www.dothecalculation.com/" TargetMode="External"/><Relationship Id="rId1" Type="http://schemas.openxmlformats.org/officeDocument/2006/relationships/hyperlink" Target="https://www.dothecalculation.com/" TargetMode="External"/><Relationship Id="rId4" Type="http://schemas.openxmlformats.org/officeDocument/2006/relationships/hyperlink" Target="https://www.dothecalculation.com/disclaime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O90"/>
  <sheetViews>
    <sheetView showGridLines="0" tabSelected="1" zoomScale="80" zoomScaleNormal="80" workbookViewId="0">
      <selection activeCell="F3" sqref="F3"/>
    </sheetView>
  </sheetViews>
  <sheetFormatPr defaultColWidth="20.54296875" defaultRowHeight="20.149999999999999" customHeight="1"/>
  <cols>
    <col min="1" max="1" width="2.6328125" style="8" customWidth="1"/>
    <col min="2" max="9" width="24.6328125" style="8" customWidth="1"/>
    <col min="10" max="10" width="2.6328125" style="8" customWidth="1"/>
    <col min="11" max="16384" width="20.54296875" style="8"/>
  </cols>
  <sheetData>
    <row r="1" spans="1:14" ht="10" customHeight="1">
      <c r="A1" s="2"/>
      <c r="B1" s="2"/>
      <c r="C1" s="2"/>
      <c r="D1" s="2"/>
      <c r="E1" s="2"/>
      <c r="F1" s="2"/>
      <c r="G1" s="2"/>
      <c r="H1" s="2"/>
      <c r="I1" s="2"/>
      <c r="J1" s="2"/>
      <c r="K1" s="2"/>
      <c r="L1" s="2"/>
      <c r="M1" s="2"/>
      <c r="N1" s="2"/>
    </row>
    <row r="2" spans="1:14" ht="50.15" customHeight="1">
      <c r="A2" s="3"/>
      <c r="B2" s="12" t="s">
        <v>215</v>
      </c>
      <c r="C2" s="9"/>
      <c r="D2" s="9"/>
      <c r="E2" s="9"/>
      <c r="F2" s="9"/>
      <c r="G2" s="9"/>
      <c r="H2" s="9"/>
      <c r="I2" s="39" t="e" vm="1">
        <v>#VALUE!</v>
      </c>
      <c r="J2" s="9"/>
      <c r="K2" s="9"/>
      <c r="L2" s="9"/>
      <c r="M2" s="9"/>
      <c r="N2" s="9"/>
    </row>
    <row r="3" spans="1:14" ht="20.149999999999999" customHeight="1">
      <c r="A3" s="2"/>
      <c r="B3" s="4" t="s">
        <v>119</v>
      </c>
      <c r="C3" s="9"/>
      <c r="D3" s="9"/>
      <c r="E3" s="9"/>
      <c r="F3" s="9"/>
      <c r="G3" s="9"/>
      <c r="H3" s="9"/>
      <c r="I3" s="9"/>
      <c r="J3" s="9"/>
      <c r="K3" s="9"/>
      <c r="L3" s="9"/>
      <c r="M3" s="9"/>
      <c r="N3" s="9"/>
    </row>
    <row r="4" spans="1:14" ht="20.149999999999999" customHeight="1">
      <c r="A4" s="5"/>
      <c r="B4" s="5"/>
      <c r="C4" s="5"/>
      <c r="D4" s="5"/>
      <c r="E4" s="5"/>
      <c r="F4" s="5"/>
      <c r="G4" s="5"/>
      <c r="H4" s="5"/>
      <c r="I4" s="5"/>
      <c r="J4" s="5"/>
      <c r="K4" s="5"/>
      <c r="L4" s="5"/>
      <c r="M4" s="5"/>
      <c r="N4" s="5"/>
    </row>
    <row r="5" spans="1:14" s="1" customFormat="1" ht="30" customHeight="1">
      <c r="B5" s="110" t="s">
        <v>216</v>
      </c>
      <c r="C5" s="111"/>
      <c r="D5" s="111"/>
      <c r="E5" s="111"/>
      <c r="F5" s="111"/>
      <c r="G5" s="111"/>
      <c r="H5" s="111"/>
      <c r="I5" s="111"/>
      <c r="J5" s="13"/>
    </row>
    <row r="7" spans="1:14" ht="30" customHeight="1">
      <c r="A7" s="2"/>
      <c r="B7" s="171" t="s">
        <v>120</v>
      </c>
      <c r="C7" s="172"/>
      <c r="D7" s="172"/>
      <c r="E7" s="172"/>
      <c r="F7" s="172"/>
      <c r="G7" s="172"/>
      <c r="H7" s="172"/>
      <c r="I7" s="172"/>
      <c r="J7" s="35"/>
      <c r="K7" s="35"/>
      <c r="L7" s="10"/>
      <c r="M7" s="10"/>
      <c r="N7" s="9"/>
    </row>
    <row r="8" spans="1:14" ht="20.149999999999999" customHeight="1">
      <c r="A8" s="2"/>
      <c r="B8" s="40"/>
      <c r="C8" s="40"/>
      <c r="D8" s="40"/>
      <c r="E8" s="40"/>
      <c r="F8" s="40"/>
      <c r="G8" s="40"/>
      <c r="H8" s="40"/>
      <c r="I8" s="40"/>
      <c r="J8" s="40"/>
      <c r="K8" s="35"/>
      <c r="L8" s="10"/>
      <c r="M8" s="10"/>
      <c r="N8" s="9"/>
    </row>
    <row r="9" spans="1:14" ht="30" customHeight="1">
      <c r="A9" s="2"/>
      <c r="B9" s="171" t="s">
        <v>121</v>
      </c>
      <c r="C9" s="172"/>
      <c r="D9" s="172"/>
      <c r="E9" s="172"/>
      <c r="F9" s="172"/>
      <c r="G9" s="172"/>
      <c r="H9" s="172"/>
      <c r="I9" s="172"/>
      <c r="J9" s="35"/>
      <c r="K9" s="35"/>
      <c r="L9" s="10"/>
      <c r="M9" s="10"/>
      <c r="N9" s="9"/>
    </row>
    <row r="10" spans="1:14" ht="20.149999999999999" customHeight="1">
      <c r="A10" s="2"/>
      <c r="L10" s="10"/>
      <c r="M10" s="10"/>
      <c r="N10" s="9"/>
    </row>
    <row r="11" spans="1:14" ht="30" customHeight="1">
      <c r="A11" s="2"/>
      <c r="B11" s="169" t="s">
        <v>122</v>
      </c>
      <c r="C11" s="170"/>
      <c r="D11" s="170"/>
      <c r="E11" s="170"/>
      <c r="F11" s="170"/>
      <c r="G11" s="170"/>
      <c r="H11" s="170"/>
      <c r="I11" s="170"/>
      <c r="J11" s="9"/>
      <c r="K11" s="9"/>
      <c r="L11" s="9"/>
      <c r="M11" s="9"/>
      <c r="N11" s="9"/>
    </row>
    <row r="13" spans="1:14" s="1" customFormat="1" ht="30" customHeight="1">
      <c r="B13" s="108" t="s">
        <v>217</v>
      </c>
      <c r="C13" s="109"/>
      <c r="D13" s="109"/>
      <c r="E13" s="109"/>
      <c r="F13" s="13"/>
      <c r="G13" s="108" t="s">
        <v>218</v>
      </c>
      <c r="H13" s="109"/>
      <c r="I13" s="109"/>
      <c r="J13" s="13"/>
    </row>
    <row r="15" spans="1:14" ht="20.149999999999999" customHeight="1">
      <c r="A15" s="5"/>
      <c r="B15" s="173" t="s">
        <v>208</v>
      </c>
      <c r="C15" s="174"/>
      <c r="D15" s="174"/>
      <c r="E15" s="175"/>
      <c r="F15" s="9"/>
      <c r="G15" s="176" t="s">
        <v>123</v>
      </c>
      <c r="H15" s="177"/>
      <c r="I15" s="31">
        <v>2</v>
      </c>
      <c r="K15" s="30" t="s">
        <v>124</v>
      </c>
      <c r="L15" s="14"/>
    </row>
    <row r="16" spans="1:14" ht="20.149999999999999" customHeight="1">
      <c r="A16" s="5"/>
      <c r="B16" s="173" t="s">
        <v>209</v>
      </c>
      <c r="C16" s="174"/>
      <c r="D16" s="174"/>
      <c r="E16" s="175"/>
      <c r="F16" s="9"/>
      <c r="G16" s="176" t="s">
        <v>125</v>
      </c>
      <c r="H16" s="177"/>
      <c r="I16" s="32" t="s">
        <v>126</v>
      </c>
      <c r="K16" s="30" t="s">
        <v>127</v>
      </c>
      <c r="L16" s="14"/>
    </row>
    <row r="17" spans="1:14" ht="20.149999999999999" customHeight="1">
      <c r="A17" s="5"/>
      <c r="B17" s="173" t="s">
        <v>210</v>
      </c>
      <c r="C17" s="174"/>
      <c r="D17" s="174"/>
      <c r="E17" s="175"/>
      <c r="F17" s="9"/>
      <c r="G17" s="176" t="s">
        <v>128</v>
      </c>
      <c r="H17" s="177"/>
      <c r="I17" s="32" t="s">
        <v>129</v>
      </c>
      <c r="K17" s="30" t="s">
        <v>130</v>
      </c>
      <c r="L17" s="14"/>
    </row>
    <row r="18" spans="1:14" ht="20.149999999999999" customHeight="1">
      <c r="A18" s="5"/>
      <c r="B18" s="173" t="s">
        <v>211</v>
      </c>
      <c r="C18" s="174"/>
      <c r="D18" s="174"/>
      <c r="E18" s="175"/>
      <c r="F18" s="9"/>
      <c r="G18" s="176" t="s">
        <v>131</v>
      </c>
      <c r="H18" s="177"/>
      <c r="I18" s="32" t="s">
        <v>132</v>
      </c>
      <c r="K18" s="30" t="s">
        <v>133</v>
      </c>
      <c r="L18" s="14"/>
    </row>
    <row r="19" spans="1:14" ht="20.149999999999999" customHeight="1">
      <c r="A19" s="5"/>
      <c r="B19" s="173" t="s">
        <v>212</v>
      </c>
      <c r="C19" s="174"/>
      <c r="D19" s="174"/>
      <c r="E19" s="175"/>
      <c r="F19" s="9"/>
      <c r="G19" s="176" t="s">
        <v>134</v>
      </c>
      <c r="H19" s="177"/>
      <c r="I19" s="33">
        <v>1.0000000000000001E-9</v>
      </c>
      <c r="K19" s="30" t="s">
        <v>135</v>
      </c>
      <c r="L19" s="14"/>
    </row>
    <row r="20" spans="1:14" ht="20.149999999999999" customHeight="1">
      <c r="A20" s="5"/>
      <c r="B20" s="173" t="s">
        <v>213</v>
      </c>
      <c r="C20" s="174"/>
      <c r="D20" s="174"/>
      <c r="E20" s="175"/>
      <c r="F20" s="9"/>
      <c r="G20" s="182" t="s">
        <v>136</v>
      </c>
      <c r="H20" s="183"/>
      <c r="I20" s="92" t="str">
        <f>IF(I15=0,"0","0."&amp;REPT("0",I15))</f>
        <v>0.00</v>
      </c>
      <c r="K20" s="30" t="s">
        <v>137</v>
      </c>
      <c r="L20" s="14"/>
    </row>
    <row r="21" spans="1:14" ht="20.149999999999999" customHeight="1">
      <c r="A21" s="5"/>
      <c r="B21" s="173" t="s">
        <v>214</v>
      </c>
      <c r="C21" s="174"/>
      <c r="D21" s="174"/>
      <c r="E21" s="175"/>
      <c r="F21" s="9"/>
    </row>
    <row r="22" spans="1:14" ht="20.149999999999999" customHeight="1">
      <c r="A22" s="5"/>
      <c r="B22" s="5"/>
      <c r="C22" s="5"/>
      <c r="D22" s="5"/>
      <c r="E22" s="5"/>
      <c r="F22" s="2"/>
      <c r="J22" s="5"/>
      <c r="K22" s="5"/>
      <c r="L22" s="5"/>
    </row>
    <row r="23" spans="1:14" s="1" customFormat="1" ht="30" customHeight="1">
      <c r="B23" s="108" t="s">
        <v>219</v>
      </c>
      <c r="C23" s="109"/>
      <c r="D23" s="109"/>
      <c r="E23" s="109"/>
      <c r="F23" s="13"/>
      <c r="G23" s="108" t="s">
        <v>224</v>
      </c>
      <c r="H23" s="109"/>
      <c r="I23" s="109"/>
      <c r="J23" s="13"/>
      <c r="L23" s="8"/>
      <c r="M23" s="8"/>
      <c r="N23" s="8"/>
    </row>
    <row r="25" spans="1:14" ht="20.149999999999999" customHeight="1">
      <c r="A25" s="5"/>
      <c r="B25" s="19" t="s">
        <v>138</v>
      </c>
      <c r="C25" s="178" t="s">
        <v>139</v>
      </c>
      <c r="D25" s="179"/>
      <c r="E25" s="179"/>
      <c r="F25" s="9"/>
      <c r="G25" s="176" t="s">
        <v>200</v>
      </c>
      <c r="H25" s="177"/>
      <c r="I25" s="42" t="str">
        <f>'Main Calculator'!$H$83</f>
        <v>PASS</v>
      </c>
      <c r="K25" s="2"/>
      <c r="L25" s="2"/>
    </row>
    <row r="26" spans="1:14" ht="20.149999999999999" customHeight="1">
      <c r="A26" s="5"/>
      <c r="B26" s="20" t="s">
        <v>142</v>
      </c>
      <c r="C26" s="180" t="s">
        <v>143</v>
      </c>
      <c r="D26" s="181"/>
      <c r="E26" s="181"/>
      <c r="F26" s="9"/>
      <c r="G26" s="176" t="s">
        <v>203</v>
      </c>
      <c r="H26" s="177"/>
      <c r="I26" s="42" t="str">
        <f>IF('Main Calculator'!$C$71=1,"INVALID INPUT",IF(ABS('Main Calculator'!$H$78)&lt;='Settings &amp; Guide'!$I$19*10,"PASS","REVIEW"))</f>
        <v>PASS</v>
      </c>
    </row>
    <row r="27" spans="1:14" ht="20.149999999999999" customHeight="1">
      <c r="A27" s="5"/>
      <c r="B27" s="21" t="s">
        <v>144</v>
      </c>
      <c r="C27" s="180" t="s">
        <v>145</v>
      </c>
      <c r="D27" s="181"/>
      <c r="E27" s="181"/>
      <c r="F27" s="9"/>
      <c r="G27" s="176" t="s">
        <v>204</v>
      </c>
      <c r="H27" s="177"/>
      <c r="I27" s="42" t="str">
        <f>IF('Main Calculator'!$C$71=1,"INVALID INPUT",IF(ABS('Main Calculator'!$H$79)&lt;='Settings &amp; Guide'!$I$19*10,"PASS","REVIEW"))</f>
        <v>PASS</v>
      </c>
    </row>
    <row r="28" spans="1:14" ht="20.149999999999999" customHeight="1">
      <c r="A28" s="5"/>
      <c r="B28" s="41" t="s">
        <v>147</v>
      </c>
      <c r="C28" s="180" t="s">
        <v>148</v>
      </c>
      <c r="D28" s="181"/>
      <c r="E28" s="181"/>
      <c r="F28" s="9"/>
      <c r="G28" s="176" t="s">
        <v>205</v>
      </c>
      <c r="H28" s="177"/>
      <c r="I28" s="42" t="str">
        <f>IF('Main Calculator'!$C$71=1,"INVALID INPUT",IF(ABS('Main Calculator'!$H$80-'Main Calculator'!$H$81)&lt;='Settings &amp; Guide'!$I$19*10,"PASS","REVIEW"))</f>
        <v>PASS</v>
      </c>
      <c r="K28" s="2"/>
    </row>
    <row r="29" spans="1:14" ht="20.149999999999999" customHeight="1">
      <c r="A29" s="5"/>
      <c r="B29" s="22" t="s">
        <v>150</v>
      </c>
      <c r="C29" s="180" t="s">
        <v>151</v>
      </c>
      <c r="D29" s="181"/>
      <c r="E29" s="181"/>
      <c r="F29" s="9"/>
      <c r="G29" s="176" t="s">
        <v>206</v>
      </c>
      <c r="H29" s="177"/>
      <c r="I29" s="42" t="str">
        <f>IF('Main Calculator'!$C$71=1,"INVALID INPUT",IF(ABS('Main Calculator'!$C$69)&lt;='Settings &amp; Guide'!$I$19,"N/A",IF(ABS('Main Calculator'!$C$72-'Main Calculator'!$H$82)&lt;='Settings &amp; Guide'!$I$19*10,"PASS","REVIEW")))</f>
        <v>PASS</v>
      </c>
      <c r="K29" s="2"/>
    </row>
    <row r="30" spans="1:14" ht="20.149999999999999" customHeight="1">
      <c r="A30" s="5"/>
      <c r="B30" s="23" t="s">
        <v>152</v>
      </c>
      <c r="C30" s="180" t="s">
        <v>153</v>
      </c>
      <c r="D30" s="181"/>
      <c r="E30" s="181"/>
      <c r="F30" s="9"/>
      <c r="J30" s="9"/>
      <c r="K30" s="9"/>
    </row>
    <row r="31" spans="1:14" ht="20.149999999999999" customHeight="1">
      <c r="A31" s="5"/>
      <c r="B31" s="24" t="s">
        <v>155</v>
      </c>
      <c r="C31" s="180" t="s">
        <v>156</v>
      </c>
      <c r="D31" s="181"/>
      <c r="E31" s="181"/>
      <c r="F31" s="9"/>
      <c r="J31" s="9"/>
      <c r="K31" s="9"/>
    </row>
    <row r="32" spans="1:14" ht="20.149999999999999" customHeight="1">
      <c r="A32" s="5"/>
      <c r="B32" s="5"/>
      <c r="C32" s="5"/>
      <c r="D32" s="5"/>
      <c r="E32" s="5"/>
      <c r="F32" s="2"/>
      <c r="G32" s="2"/>
      <c r="H32" s="5"/>
      <c r="I32" s="5"/>
      <c r="J32" s="5"/>
      <c r="K32" s="5"/>
    </row>
    <row r="33" spans="1:14" s="1" customFormat="1" ht="30" customHeight="1">
      <c r="B33" s="108" t="s">
        <v>220</v>
      </c>
      <c r="C33" s="109"/>
      <c r="D33" s="109"/>
      <c r="E33" s="109"/>
      <c r="F33" s="13"/>
      <c r="G33" s="108" t="s">
        <v>256</v>
      </c>
      <c r="H33" s="109"/>
      <c r="I33" s="109"/>
      <c r="J33" s="13"/>
    </row>
    <row r="35" spans="1:14" s="27" customFormat="1" ht="30" customHeight="1">
      <c r="A35" s="36"/>
      <c r="B35" s="165" t="s">
        <v>157</v>
      </c>
      <c r="C35" s="123"/>
      <c r="D35" s="123" t="s">
        <v>158</v>
      </c>
      <c r="E35" s="124"/>
      <c r="G35" s="165" t="s">
        <v>159</v>
      </c>
      <c r="H35" s="123"/>
      <c r="I35" s="124"/>
      <c r="J35" s="101"/>
    </row>
    <row r="36" spans="1:14" ht="30" customHeight="1">
      <c r="A36" s="5"/>
      <c r="B36" s="187" t="s">
        <v>16</v>
      </c>
      <c r="C36" s="187"/>
      <c r="D36" s="188" t="s">
        <v>257</v>
      </c>
      <c r="E36" s="188"/>
      <c r="F36" s="9"/>
      <c r="G36" s="166" t="s">
        <v>160</v>
      </c>
      <c r="H36" s="167"/>
      <c r="I36" s="168"/>
      <c r="J36" s="102"/>
      <c r="M36" s="9"/>
      <c r="N36" s="9"/>
    </row>
    <row r="37" spans="1:14" ht="30" customHeight="1">
      <c r="A37" s="5"/>
      <c r="B37" s="127" t="s">
        <v>18</v>
      </c>
      <c r="C37" s="127"/>
      <c r="D37" s="186" t="s">
        <v>258</v>
      </c>
      <c r="E37" s="186"/>
      <c r="F37" s="9"/>
      <c r="G37" s="139" t="s">
        <v>161</v>
      </c>
      <c r="H37" s="140"/>
      <c r="I37" s="141"/>
      <c r="J37" s="102"/>
      <c r="M37" s="9"/>
      <c r="N37" s="9"/>
    </row>
    <row r="38" spans="1:14" ht="30" customHeight="1">
      <c r="A38" s="5"/>
      <c r="B38" s="127" t="s">
        <v>21</v>
      </c>
      <c r="C38" s="127"/>
      <c r="D38" s="186" t="s">
        <v>162</v>
      </c>
      <c r="E38" s="186"/>
      <c r="F38" s="9"/>
      <c r="G38" s="139" t="s">
        <v>163</v>
      </c>
      <c r="H38" s="140"/>
      <c r="I38" s="141"/>
      <c r="J38" s="102"/>
      <c r="M38" s="9"/>
      <c r="N38" s="9"/>
    </row>
    <row r="39" spans="1:14" ht="30" customHeight="1">
      <c r="A39" s="5"/>
      <c r="B39" s="127" t="s">
        <v>23</v>
      </c>
      <c r="C39" s="127"/>
      <c r="D39" s="186" t="s">
        <v>164</v>
      </c>
      <c r="E39" s="186"/>
      <c r="F39" s="9"/>
      <c r="G39" s="139" t="s">
        <v>165</v>
      </c>
      <c r="H39" s="140"/>
      <c r="I39" s="141"/>
      <c r="J39" s="102"/>
      <c r="M39" s="9"/>
      <c r="N39" s="9"/>
    </row>
    <row r="40" spans="1:14" ht="30" customHeight="1">
      <c r="A40" s="5"/>
      <c r="B40" s="127" t="s">
        <v>25</v>
      </c>
      <c r="C40" s="127"/>
      <c r="D40" s="186" t="s">
        <v>259</v>
      </c>
      <c r="E40" s="186"/>
      <c r="F40" s="9"/>
      <c r="G40" s="139" t="s">
        <v>166</v>
      </c>
      <c r="H40" s="140"/>
      <c r="I40" s="141"/>
      <c r="J40" s="102"/>
      <c r="M40" s="9"/>
      <c r="N40" s="9"/>
    </row>
    <row r="41" spans="1:14" ht="30" customHeight="1">
      <c r="A41" s="5"/>
      <c r="B41" s="127" t="s">
        <v>167</v>
      </c>
      <c r="C41" s="127"/>
      <c r="D41" s="186" t="s">
        <v>262</v>
      </c>
      <c r="E41" s="186"/>
      <c r="F41" s="9"/>
      <c r="G41" s="139" t="s">
        <v>168</v>
      </c>
      <c r="H41" s="140"/>
      <c r="I41" s="141"/>
      <c r="J41" s="102"/>
      <c r="M41" s="9"/>
      <c r="N41" s="9"/>
    </row>
    <row r="42" spans="1:14" ht="30" customHeight="1">
      <c r="A42" s="5"/>
      <c r="B42" s="127" t="s">
        <v>81</v>
      </c>
      <c r="C42" s="127"/>
      <c r="D42" s="186" t="s">
        <v>169</v>
      </c>
      <c r="E42" s="186"/>
      <c r="F42" s="9"/>
      <c r="G42" s="139" t="s">
        <v>170</v>
      </c>
      <c r="H42" s="140"/>
      <c r="I42" s="141"/>
      <c r="J42" s="102"/>
      <c r="M42" s="9"/>
      <c r="N42" s="9"/>
    </row>
    <row r="43" spans="1:14" ht="30" customHeight="1">
      <c r="A43" s="5"/>
      <c r="B43" s="127" t="s">
        <v>32</v>
      </c>
      <c r="C43" s="127"/>
      <c r="D43" s="186" t="s">
        <v>171</v>
      </c>
      <c r="E43" s="186"/>
      <c r="F43" s="9"/>
      <c r="G43" s="139" t="s">
        <v>172</v>
      </c>
      <c r="H43" s="140"/>
      <c r="I43" s="141"/>
      <c r="J43" s="102"/>
      <c r="M43" s="9"/>
      <c r="N43" s="9"/>
    </row>
    <row r="44" spans="1:14" ht="30" customHeight="1">
      <c r="A44" s="5"/>
      <c r="B44" s="127" t="s">
        <v>173</v>
      </c>
      <c r="C44" s="127"/>
      <c r="D44" s="186" t="s">
        <v>260</v>
      </c>
      <c r="E44" s="186"/>
      <c r="F44" s="9"/>
      <c r="G44" s="139" t="s">
        <v>174</v>
      </c>
      <c r="H44" s="140"/>
      <c r="I44" s="141"/>
      <c r="J44" s="102"/>
      <c r="M44" s="9"/>
      <c r="N44" s="9"/>
    </row>
    <row r="45" spans="1:14" ht="30" customHeight="1">
      <c r="A45" s="5"/>
      <c r="B45" s="127" t="s">
        <v>175</v>
      </c>
      <c r="C45" s="127"/>
      <c r="D45" s="186" t="s">
        <v>176</v>
      </c>
      <c r="E45" s="186"/>
      <c r="F45" s="9"/>
      <c r="G45" s="139" t="s">
        <v>177</v>
      </c>
      <c r="H45" s="140"/>
      <c r="I45" s="141"/>
      <c r="J45" s="102"/>
      <c r="M45" s="9"/>
      <c r="N45" s="9"/>
    </row>
    <row r="46" spans="1:14" ht="30" customHeight="1">
      <c r="A46" s="5"/>
      <c r="B46" s="127" t="s">
        <v>178</v>
      </c>
      <c r="C46" s="127"/>
      <c r="D46" s="186" t="s">
        <v>261</v>
      </c>
      <c r="E46" s="186"/>
      <c r="F46" s="9"/>
      <c r="G46" s="139" t="s">
        <v>179</v>
      </c>
      <c r="H46" s="140"/>
      <c r="I46" s="141"/>
      <c r="J46" s="102"/>
      <c r="M46" s="9"/>
      <c r="N46" s="9"/>
    </row>
    <row r="47" spans="1:14" ht="20.149999999999999" customHeight="1">
      <c r="A47" s="5"/>
      <c r="B47" s="5"/>
      <c r="C47" s="5"/>
      <c r="D47" s="5"/>
      <c r="E47" s="5"/>
      <c r="F47" s="5"/>
      <c r="G47" s="5"/>
      <c r="H47" s="5"/>
      <c r="I47" s="5"/>
      <c r="J47" s="5"/>
      <c r="K47" s="5"/>
      <c r="L47" s="5"/>
      <c r="M47" s="5"/>
      <c r="N47" s="5"/>
    </row>
    <row r="48" spans="1:14" s="1" customFormat="1" ht="30" customHeight="1">
      <c r="B48" s="108" t="s">
        <v>221</v>
      </c>
      <c r="C48" s="109"/>
      <c r="D48" s="109"/>
      <c r="E48" s="109"/>
      <c r="F48" s="13"/>
      <c r="G48" s="13"/>
      <c r="H48" s="15"/>
      <c r="I48" s="13"/>
      <c r="J48" s="13"/>
      <c r="L48" s="8"/>
      <c r="M48" s="8"/>
      <c r="N48" s="8"/>
    </row>
    <row r="50" spans="1:14" ht="20.149999999999999" customHeight="1">
      <c r="A50" s="5"/>
      <c r="B50" s="184" t="s">
        <v>180</v>
      </c>
      <c r="C50" s="185"/>
      <c r="D50" s="149" t="s">
        <v>181</v>
      </c>
      <c r="E50" s="150"/>
      <c r="F50" s="150"/>
      <c r="G50" s="150"/>
      <c r="H50" s="150"/>
      <c r="I50" s="150"/>
      <c r="J50" s="44"/>
    </row>
    <row r="51" spans="1:14" ht="20.149999999999999" customHeight="1">
      <c r="A51" s="5"/>
      <c r="B51" s="157" t="s">
        <v>184</v>
      </c>
      <c r="C51" s="158"/>
      <c r="D51" s="151" t="s">
        <v>185</v>
      </c>
      <c r="E51" s="152"/>
      <c r="F51" s="152"/>
      <c r="G51" s="152"/>
      <c r="H51" s="152"/>
      <c r="I51" s="152"/>
      <c r="J51" s="44"/>
    </row>
    <row r="52" spans="1:14" ht="20.149999999999999" customHeight="1">
      <c r="A52" s="5"/>
      <c r="B52" s="157" t="s">
        <v>188</v>
      </c>
      <c r="C52" s="158"/>
      <c r="D52" s="151" t="s">
        <v>189</v>
      </c>
      <c r="E52" s="152"/>
      <c r="F52" s="152"/>
      <c r="G52" s="152"/>
      <c r="H52" s="152"/>
      <c r="I52" s="152"/>
      <c r="J52" s="44"/>
    </row>
    <row r="53" spans="1:14" ht="20.149999999999999" customHeight="1">
      <c r="A53" s="5"/>
      <c r="B53" s="157" t="s">
        <v>192</v>
      </c>
      <c r="C53" s="158"/>
      <c r="D53" s="151" t="s">
        <v>193</v>
      </c>
      <c r="E53" s="152"/>
      <c r="F53" s="152"/>
      <c r="G53" s="152"/>
      <c r="H53" s="152"/>
      <c r="I53" s="152"/>
      <c r="J53" s="44"/>
    </row>
    <row r="54" spans="1:14" ht="20.149999999999999" customHeight="1">
      <c r="A54" s="5"/>
      <c r="B54" s="157" t="s">
        <v>196</v>
      </c>
      <c r="C54" s="158"/>
      <c r="D54" s="151" t="s">
        <v>197</v>
      </c>
      <c r="E54" s="152"/>
      <c r="F54" s="152"/>
      <c r="G54" s="152"/>
      <c r="H54" s="152"/>
      <c r="I54" s="152"/>
      <c r="J54" s="44"/>
    </row>
    <row r="55" spans="1:14" ht="20.149999999999999" customHeight="1">
      <c r="A55" s="5"/>
      <c r="B55" s="157" t="s">
        <v>198</v>
      </c>
      <c r="C55" s="158"/>
      <c r="D55" s="151" t="s">
        <v>199</v>
      </c>
      <c r="E55" s="152"/>
      <c r="F55" s="152"/>
      <c r="G55" s="152"/>
      <c r="H55" s="152"/>
      <c r="I55" s="152"/>
      <c r="J55" s="44"/>
      <c r="M55" s="9"/>
      <c r="N55" s="9"/>
    </row>
    <row r="56" spans="1:14" ht="20.149999999999999" customHeight="1">
      <c r="A56" s="5"/>
      <c r="B56" s="157" t="s">
        <v>201</v>
      </c>
      <c r="C56" s="158"/>
      <c r="D56" s="151" t="s">
        <v>202</v>
      </c>
      <c r="E56" s="152"/>
      <c r="F56" s="152"/>
      <c r="G56" s="152"/>
      <c r="H56" s="152"/>
      <c r="I56" s="152"/>
      <c r="J56" s="44"/>
      <c r="M56" s="9"/>
      <c r="N56" s="9"/>
    </row>
    <row r="57" spans="1:14" ht="20.149999999999999" customHeight="1">
      <c r="A57" s="2"/>
      <c r="B57" s="2"/>
      <c r="C57" s="2"/>
      <c r="D57" s="2"/>
      <c r="E57" s="2"/>
      <c r="F57" s="2"/>
      <c r="G57" s="2"/>
      <c r="H57" s="2"/>
      <c r="M57" s="9"/>
      <c r="N57" s="9"/>
    </row>
    <row r="58" spans="1:14" s="1" customFormat="1" ht="30" customHeight="1">
      <c r="B58" s="108" t="s">
        <v>222</v>
      </c>
      <c r="C58" s="109"/>
      <c r="D58" s="109"/>
      <c r="E58" s="109"/>
      <c r="F58" s="13"/>
      <c r="G58" s="13"/>
      <c r="H58" s="15"/>
      <c r="I58" s="13"/>
      <c r="J58" s="103"/>
      <c r="L58" s="8"/>
      <c r="M58" s="8"/>
      <c r="N58" s="8"/>
    </row>
    <row r="60" spans="1:14" ht="20.149999999999999" customHeight="1">
      <c r="A60" s="2"/>
      <c r="B60" s="184" t="s">
        <v>182</v>
      </c>
      <c r="C60" s="185"/>
      <c r="D60" s="145" t="s">
        <v>183</v>
      </c>
      <c r="E60" s="146"/>
      <c r="F60" s="146"/>
      <c r="G60" s="146"/>
      <c r="H60" s="146"/>
      <c r="I60" s="146"/>
      <c r="J60" s="104"/>
      <c r="M60" s="9"/>
      <c r="N60" s="9"/>
    </row>
    <row r="61" spans="1:14" ht="20.149999999999999" customHeight="1">
      <c r="A61" s="2"/>
      <c r="B61" s="157" t="s">
        <v>186</v>
      </c>
      <c r="C61" s="158"/>
      <c r="D61" s="147" t="s">
        <v>187</v>
      </c>
      <c r="E61" s="148"/>
      <c r="F61" s="148"/>
      <c r="G61" s="148"/>
      <c r="H61" s="148"/>
      <c r="I61" s="148"/>
      <c r="J61" s="104"/>
      <c r="M61" s="9"/>
      <c r="N61" s="9"/>
    </row>
    <row r="62" spans="1:14" ht="20.149999999999999" customHeight="1">
      <c r="A62" s="2"/>
      <c r="B62" s="157" t="s">
        <v>190</v>
      </c>
      <c r="C62" s="158"/>
      <c r="D62" s="147" t="s">
        <v>191</v>
      </c>
      <c r="E62" s="148"/>
      <c r="F62" s="148"/>
      <c r="G62" s="148"/>
      <c r="H62" s="148"/>
      <c r="I62" s="148"/>
      <c r="J62" s="104"/>
      <c r="M62" s="9"/>
      <c r="N62" s="9"/>
    </row>
    <row r="63" spans="1:14" ht="20.149999999999999" customHeight="1">
      <c r="A63" s="2"/>
      <c r="B63" s="157" t="s">
        <v>194</v>
      </c>
      <c r="C63" s="158"/>
      <c r="D63" s="147" t="s">
        <v>195</v>
      </c>
      <c r="E63" s="148"/>
      <c r="F63" s="148"/>
      <c r="G63" s="148"/>
      <c r="H63" s="148"/>
      <c r="I63" s="148"/>
      <c r="J63" s="104"/>
      <c r="M63" s="9"/>
      <c r="N63" s="9"/>
    </row>
    <row r="64" spans="1:14" ht="20.149999999999999" customHeight="1">
      <c r="A64" s="2"/>
      <c r="B64" s="2"/>
      <c r="C64" s="2"/>
      <c r="D64" s="2"/>
      <c r="E64" s="2"/>
      <c r="F64" s="2"/>
      <c r="G64" s="2"/>
      <c r="H64" s="2"/>
      <c r="M64" s="9"/>
      <c r="N64" s="9"/>
    </row>
    <row r="65" spans="1:15" s="1" customFormat="1" ht="30" customHeight="1">
      <c r="B65" s="108" t="s">
        <v>223</v>
      </c>
      <c r="C65" s="109"/>
      <c r="D65" s="13"/>
      <c r="E65" s="13"/>
      <c r="F65" s="13"/>
      <c r="G65" s="13"/>
      <c r="H65" s="15"/>
      <c r="I65" s="13"/>
      <c r="J65" s="103"/>
      <c r="L65" s="8"/>
      <c r="M65" s="8"/>
      <c r="N65" s="8"/>
    </row>
    <row r="66" spans="1:15" ht="20.149999999999999" customHeight="1">
      <c r="A66" s="2"/>
      <c r="E66" s="2"/>
      <c r="F66" s="2"/>
      <c r="G66" s="2"/>
      <c r="H66" s="2"/>
    </row>
    <row r="67" spans="1:15" s="27" customFormat="1" ht="30" customHeight="1">
      <c r="A67" s="26"/>
      <c r="B67" s="165" t="s">
        <v>140</v>
      </c>
      <c r="C67" s="124"/>
      <c r="E67" s="165" t="s">
        <v>141</v>
      </c>
      <c r="F67" s="124"/>
      <c r="G67" s="26"/>
    </row>
    <row r="68" spans="1:15" ht="20.149999999999999" customHeight="1">
      <c r="A68" s="2"/>
      <c r="B68" s="153" t="s">
        <v>126</v>
      </c>
      <c r="C68" s="154"/>
      <c r="E68" s="153" t="s">
        <v>129</v>
      </c>
      <c r="F68" s="154"/>
      <c r="G68" s="2"/>
    </row>
    <row r="69" spans="1:15" ht="20.149999999999999" customHeight="1">
      <c r="A69" s="2"/>
      <c r="B69" s="155" t="s">
        <v>146</v>
      </c>
      <c r="C69" s="156"/>
      <c r="E69" s="155" t="s">
        <v>263</v>
      </c>
      <c r="F69" s="156"/>
      <c r="G69" s="2"/>
    </row>
    <row r="70" spans="1:15" ht="20.149999999999999" customHeight="1">
      <c r="A70" s="2"/>
      <c r="B70" s="155" t="s">
        <v>149</v>
      </c>
      <c r="C70" s="156"/>
      <c r="E70" s="155"/>
      <c r="F70" s="156"/>
      <c r="G70" s="2"/>
    </row>
    <row r="71" spans="1:15" ht="20.149999999999999" customHeight="1">
      <c r="A71" s="2"/>
      <c r="E71" s="2"/>
      <c r="F71" s="2"/>
      <c r="G71" s="2"/>
      <c r="H71" s="2"/>
    </row>
    <row r="72" spans="1:15" ht="30" customHeight="1">
      <c r="A72" s="2"/>
      <c r="B72" s="142" t="s">
        <v>154</v>
      </c>
      <c r="C72" s="143"/>
      <c r="D72" s="143"/>
      <c r="E72" s="143"/>
      <c r="F72" s="143"/>
      <c r="G72" s="143"/>
      <c r="H72" s="143"/>
      <c r="I72" s="144"/>
      <c r="J72" s="105"/>
    </row>
    <row r="73" spans="1:15" ht="20.149999999999999" customHeight="1">
      <c r="A73" s="2"/>
      <c r="B73" s="2"/>
      <c r="C73" s="2"/>
      <c r="D73" s="2"/>
      <c r="E73" s="2"/>
      <c r="F73" s="2"/>
      <c r="G73" s="2"/>
      <c r="H73" s="2"/>
    </row>
    <row r="74" spans="1:15" ht="20.149999999999999" customHeight="1">
      <c r="A74" s="5"/>
      <c r="B74" s="159" t="s">
        <v>207</v>
      </c>
      <c r="C74" s="160"/>
      <c r="D74" s="160"/>
      <c r="E74" s="160"/>
      <c r="F74" s="160"/>
      <c r="G74" s="160"/>
      <c r="H74" s="160"/>
      <c r="I74" s="161"/>
      <c r="J74" s="106"/>
      <c r="M74" s="5"/>
      <c r="N74" s="5"/>
      <c r="O74" s="5"/>
    </row>
    <row r="75" spans="1:15" ht="20.149999999999999" customHeight="1">
      <c r="A75" s="5"/>
      <c r="B75" s="162"/>
      <c r="C75" s="163"/>
      <c r="D75" s="163"/>
      <c r="E75" s="163"/>
      <c r="F75" s="163"/>
      <c r="G75" s="163"/>
      <c r="H75" s="163"/>
      <c r="I75" s="164"/>
      <c r="J75" s="106"/>
    </row>
    <row r="76" spans="1:15" ht="20.149999999999999" customHeight="1">
      <c r="A76" s="5"/>
      <c r="B76" s="9"/>
      <c r="C76" s="9"/>
      <c r="D76" s="9"/>
      <c r="E76" s="9"/>
      <c r="F76" s="9"/>
      <c r="G76" s="9"/>
      <c r="H76" s="2"/>
    </row>
    <row r="77" spans="1:15" ht="20.149999999999999" customHeight="1">
      <c r="A77" s="5"/>
      <c r="B77" s="16" t="s">
        <v>59</v>
      </c>
      <c r="C77" s="9"/>
      <c r="D77" s="9"/>
      <c r="E77" s="9"/>
      <c r="F77" s="9"/>
      <c r="G77" s="9"/>
      <c r="H77" s="2"/>
    </row>
    <row r="78" spans="1:15" ht="20.149999999999999" customHeight="1">
      <c r="A78" s="5"/>
      <c r="B78" s="2"/>
      <c r="C78" s="2"/>
      <c r="D78" s="2"/>
      <c r="E78" s="2"/>
      <c r="F78" s="2"/>
      <c r="G78" s="2"/>
      <c r="H78" s="2"/>
    </row>
    <row r="79" spans="1:15" ht="20.149999999999999" customHeight="1">
      <c r="A79" s="5"/>
      <c r="B79" s="2"/>
      <c r="C79" s="2"/>
      <c r="D79" s="2"/>
      <c r="E79" s="2"/>
      <c r="F79" s="2"/>
      <c r="G79" s="2"/>
      <c r="H79" s="2"/>
    </row>
    <row r="80" spans="1:15" ht="20.149999999999999" customHeight="1">
      <c r="A80" s="5"/>
      <c r="B80" s="2"/>
      <c r="C80" s="2"/>
      <c r="D80" s="2"/>
      <c r="E80" s="2"/>
      <c r="F80" s="2"/>
      <c r="G80" s="2"/>
      <c r="H80" s="2"/>
    </row>
    <row r="81" spans="1:14" ht="20.149999999999999" customHeight="1">
      <c r="A81" s="5"/>
      <c r="B81" s="2"/>
      <c r="C81" s="2"/>
      <c r="D81" s="2"/>
      <c r="E81" s="2"/>
      <c r="F81" s="2"/>
      <c r="G81" s="2"/>
      <c r="H81" s="2"/>
    </row>
    <row r="82" spans="1:14" ht="20.149999999999999" customHeight="1">
      <c r="A82" s="5"/>
      <c r="B82" s="2"/>
      <c r="C82" s="2"/>
      <c r="D82" s="2"/>
      <c r="E82" s="2"/>
      <c r="F82" s="2"/>
      <c r="G82" s="2"/>
      <c r="H82" s="2"/>
      <c r="I82" s="2"/>
      <c r="J82" s="2"/>
      <c r="K82" s="2"/>
      <c r="L82" s="2"/>
    </row>
    <row r="83" spans="1:14" ht="20.149999999999999" customHeight="1">
      <c r="A83" s="5"/>
      <c r="B83" s="2"/>
      <c r="C83" s="2"/>
      <c r="D83" s="2"/>
      <c r="E83" s="2"/>
      <c r="F83" s="2"/>
      <c r="G83" s="2"/>
      <c r="H83" s="2"/>
      <c r="I83" s="2"/>
      <c r="J83" s="2"/>
      <c r="K83" s="2"/>
      <c r="L83" s="2"/>
      <c r="M83" s="5"/>
      <c r="N83" s="5"/>
    </row>
    <row r="84" spans="1:14" ht="20.149999999999999" customHeight="1">
      <c r="A84" s="5"/>
      <c r="B84" s="2"/>
      <c r="C84" s="2"/>
      <c r="D84" s="2"/>
      <c r="E84" s="2"/>
      <c r="F84" s="2"/>
      <c r="G84" s="2"/>
      <c r="H84" s="2"/>
      <c r="I84" s="2"/>
      <c r="J84" s="2"/>
      <c r="K84" s="2"/>
      <c r="L84" s="2"/>
      <c r="M84" s="5"/>
      <c r="N84" s="5"/>
    </row>
    <row r="85" spans="1:14" ht="20.149999999999999" customHeight="1">
      <c r="A85" s="5"/>
      <c r="B85" s="2"/>
      <c r="C85" s="2"/>
      <c r="D85" s="2"/>
      <c r="E85" s="2"/>
      <c r="F85" s="2"/>
      <c r="G85" s="2"/>
      <c r="H85" s="2"/>
      <c r="I85" s="2"/>
      <c r="J85" s="2"/>
      <c r="K85" s="2"/>
      <c r="L85" s="2"/>
      <c r="M85" s="5"/>
      <c r="N85" s="5"/>
    </row>
    <row r="86" spans="1:14" ht="20.149999999999999" customHeight="1">
      <c r="A86" s="5"/>
      <c r="B86" s="2"/>
      <c r="C86" s="2"/>
      <c r="D86" s="2"/>
      <c r="E86" s="2"/>
      <c r="F86" s="2"/>
      <c r="G86" s="2"/>
      <c r="H86" s="2"/>
      <c r="I86" s="2"/>
      <c r="J86" s="2"/>
      <c r="K86" s="2"/>
      <c r="L86" s="2"/>
      <c r="M86" s="5"/>
      <c r="N86" s="5"/>
    </row>
    <row r="87" spans="1:14" ht="20.149999999999999" customHeight="1">
      <c r="A87" s="5"/>
      <c r="B87" s="2"/>
      <c r="C87" s="2"/>
      <c r="D87" s="2"/>
      <c r="E87" s="2"/>
      <c r="F87" s="2"/>
      <c r="G87" s="2"/>
      <c r="H87" s="2"/>
      <c r="I87" s="2"/>
      <c r="J87" s="2"/>
      <c r="K87" s="2"/>
      <c r="L87" s="2"/>
      <c r="M87" s="5"/>
      <c r="N87" s="5"/>
    </row>
    <row r="88" spans="1:14" ht="20.149999999999999" customHeight="1">
      <c r="A88" s="5"/>
      <c r="B88" s="5"/>
      <c r="C88" s="5"/>
      <c r="D88" s="5"/>
      <c r="E88" s="5"/>
      <c r="F88" s="5"/>
      <c r="G88" s="5"/>
      <c r="H88" s="5"/>
      <c r="I88" s="5"/>
      <c r="J88" s="5"/>
      <c r="K88" s="5"/>
      <c r="L88" s="5"/>
      <c r="M88" s="5"/>
      <c r="N88" s="5"/>
    </row>
    <row r="89" spans="1:14" ht="20.149999999999999" customHeight="1">
      <c r="A89" s="5"/>
      <c r="B89" s="5"/>
      <c r="C89" s="5"/>
      <c r="D89" s="5"/>
      <c r="E89" s="5"/>
      <c r="F89" s="5"/>
      <c r="G89" s="5"/>
      <c r="H89" s="5"/>
      <c r="I89" s="5"/>
      <c r="J89" s="5"/>
      <c r="K89" s="5"/>
      <c r="L89" s="5"/>
      <c r="M89" s="5"/>
      <c r="N89" s="5"/>
    </row>
    <row r="90" spans="1:14" ht="20.149999999999999" customHeight="1">
      <c r="A90" s="2"/>
      <c r="B90" s="2"/>
      <c r="C90" s="2"/>
      <c r="D90" s="2"/>
      <c r="E90" s="2"/>
      <c r="F90" s="2"/>
      <c r="G90" s="2"/>
      <c r="H90" s="2"/>
      <c r="I90" s="2"/>
      <c r="J90" s="2"/>
      <c r="K90" s="2"/>
      <c r="L90" s="2"/>
      <c r="M90" s="2"/>
      <c r="N90" s="2"/>
    </row>
  </sheetData>
  <mergeCells count="106">
    <mergeCell ref="G40:I40"/>
    <mergeCell ref="G41:I41"/>
    <mergeCell ref="G42:I42"/>
    <mergeCell ref="D43:E43"/>
    <mergeCell ref="D44:E44"/>
    <mergeCell ref="D35:E35"/>
    <mergeCell ref="D36:E36"/>
    <mergeCell ref="D37:E37"/>
    <mergeCell ref="D38:E38"/>
    <mergeCell ref="D39:E39"/>
    <mergeCell ref="G35:I35"/>
    <mergeCell ref="B35:C35"/>
    <mergeCell ref="B36:C36"/>
    <mergeCell ref="B37:C37"/>
    <mergeCell ref="B38:C38"/>
    <mergeCell ref="B39:C39"/>
    <mergeCell ref="B40:C40"/>
    <mergeCell ref="B41:C41"/>
    <mergeCell ref="B42:C42"/>
    <mergeCell ref="D40:E40"/>
    <mergeCell ref="D41:E41"/>
    <mergeCell ref="D42:E42"/>
    <mergeCell ref="C27:E27"/>
    <mergeCell ref="C28:E28"/>
    <mergeCell ref="C29:E29"/>
    <mergeCell ref="C30:E30"/>
    <mergeCell ref="C31:E31"/>
    <mergeCell ref="G27:H27"/>
    <mergeCell ref="G28:H28"/>
    <mergeCell ref="G29:H29"/>
    <mergeCell ref="B60:C60"/>
    <mergeCell ref="B55:C55"/>
    <mergeCell ref="B56:C56"/>
    <mergeCell ref="B50:C50"/>
    <mergeCell ref="B51:C51"/>
    <mergeCell ref="B52:C52"/>
    <mergeCell ref="B53:C53"/>
    <mergeCell ref="B54:C54"/>
    <mergeCell ref="B43:C43"/>
    <mergeCell ref="B44:C44"/>
    <mergeCell ref="B45:C45"/>
    <mergeCell ref="B46:C46"/>
    <mergeCell ref="D45:E45"/>
    <mergeCell ref="D46:E46"/>
    <mergeCell ref="G43:I43"/>
    <mergeCell ref="G44:I44"/>
    <mergeCell ref="G17:H17"/>
    <mergeCell ref="G18:H18"/>
    <mergeCell ref="G19:H19"/>
    <mergeCell ref="C25:E25"/>
    <mergeCell ref="C26:E26"/>
    <mergeCell ref="G25:H25"/>
    <mergeCell ref="G26:H26"/>
    <mergeCell ref="B17:E17"/>
    <mergeCell ref="B18:E18"/>
    <mergeCell ref="B19:E19"/>
    <mergeCell ref="G20:H20"/>
    <mergeCell ref="B20:E20"/>
    <mergeCell ref="B21:E21"/>
    <mergeCell ref="B74:I75"/>
    <mergeCell ref="E67:F67"/>
    <mergeCell ref="B67:C67"/>
    <mergeCell ref="B5:I5"/>
    <mergeCell ref="B65:C65"/>
    <mergeCell ref="B58:E58"/>
    <mergeCell ref="B48:E48"/>
    <mergeCell ref="B33:E33"/>
    <mergeCell ref="G23:I23"/>
    <mergeCell ref="B23:E23"/>
    <mergeCell ref="G13:I13"/>
    <mergeCell ref="B13:E13"/>
    <mergeCell ref="G33:I33"/>
    <mergeCell ref="G36:I36"/>
    <mergeCell ref="G37:I37"/>
    <mergeCell ref="G38:I38"/>
    <mergeCell ref="G39:I39"/>
    <mergeCell ref="B11:I11"/>
    <mergeCell ref="B9:I9"/>
    <mergeCell ref="B7:I7"/>
    <mergeCell ref="B15:E15"/>
    <mergeCell ref="B16:E16"/>
    <mergeCell ref="G15:H15"/>
    <mergeCell ref="G16:H16"/>
    <mergeCell ref="G45:I45"/>
    <mergeCell ref="G46:I46"/>
    <mergeCell ref="B72:I72"/>
    <mergeCell ref="D60:I60"/>
    <mergeCell ref="D61:I61"/>
    <mergeCell ref="D62:I62"/>
    <mergeCell ref="D63:I63"/>
    <mergeCell ref="D50:I50"/>
    <mergeCell ref="D51:I51"/>
    <mergeCell ref="D52:I52"/>
    <mergeCell ref="D53:I53"/>
    <mergeCell ref="D54:I54"/>
    <mergeCell ref="D55:I55"/>
    <mergeCell ref="D56:I56"/>
    <mergeCell ref="B68:C68"/>
    <mergeCell ref="B69:C69"/>
    <mergeCell ref="B70:C70"/>
    <mergeCell ref="E68:F68"/>
    <mergeCell ref="E69:F69"/>
    <mergeCell ref="E70:F70"/>
    <mergeCell ref="B61:C61"/>
    <mergeCell ref="B62:C62"/>
    <mergeCell ref="B63:C63"/>
  </mergeCells>
  <conditionalFormatting sqref="I25:I29">
    <cfRule type="expression" dxfId="17" priority="1">
      <formula>I25="PASS"</formula>
    </cfRule>
    <cfRule type="expression" dxfId="16" priority="2">
      <formula>OR(I25="REVIEW",I25="N/A")</formula>
    </cfRule>
    <cfRule type="expression" dxfId="15" priority="3">
      <formula>I25="INVALID INPUT"</formula>
    </cfRule>
    <cfRule type="expression" dxfId="14" priority="4">
      <formula>I25="PASS"</formula>
    </cfRule>
    <cfRule type="expression" dxfId="13" priority="5">
      <formula>OR(I25="REVIEW",I25="N/A")</formula>
    </cfRule>
    <cfRule type="expression" dxfId="12" priority="6">
      <formula>I25="INVALID INPUT"</formula>
    </cfRule>
  </conditionalFormatting>
  <dataValidations count="4">
    <dataValidation type="whole" errorTitle="Invalid precision" error="Enter a whole number from 0 to 6." promptTitle="Output precision" prompt="Choose the number of decimals used to round displayed results." sqref="I15" xr:uid="{00000000-0002-0000-0000-000000000000}">
      <formula1>0</formula1>
      <formula2>6</formula2>
    </dataValidation>
    <dataValidation type="list" errorTitle="Invalid rounding method" error="Select Nearest, Up, or Down from the list." sqref="I16" xr:uid="{00000000-0002-0000-0000-000001000000}">
      <formula1>RoundingOptions</formula1>
    </dataValidation>
    <dataValidation type="list" errorTitle="Invalid angle convention" error="Select an angle convention from the list." sqref="I17" xr:uid="{00000000-0002-0000-0000-000002000000}">
      <formula1>AngleOptions</formula1>
    </dataValidation>
    <dataValidation type="decimal" errorTitle="Invalid tolerance" error="Enter a tolerance between 1E-12 and 0.01." sqref="I19" xr:uid="{00000000-0002-0000-0000-000003000000}">
      <formula1>0.000000000001</formula1>
      <formula2>0.01</formula2>
    </dataValidation>
  </dataValidations>
  <hyperlinks>
    <hyperlink ref="D60" r:id="rId1" xr:uid="{00000000-0004-0000-0000-000000000000}"/>
    <hyperlink ref="D61" r:id="rId2" xr:uid="{00000000-0004-0000-0000-000001000000}"/>
    <hyperlink ref="D62" r:id="rId3" xr:uid="{00000000-0004-0000-0000-000002000000}"/>
    <hyperlink ref="D63" r:id="rId4" xr:uid="{00000000-0004-0000-0000-000003000000}"/>
    <hyperlink ref="I2" r:id="rId5" display="https://dothecalculation.com/" xr:uid="{0ACA90CF-826E-46AC-882A-2CF209D18ECF}"/>
  </hyperlinks>
  <printOptions horizontalCentered="1"/>
  <pageMargins left="0.25" right="0.25" top="0.25" bottom="0.25" header="0" footer="0"/>
  <pageSetup scale="42" fitToHeight="0" orientation="portrait" r:id="rId6"/>
  <legacy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Q85"/>
  <sheetViews>
    <sheetView showGridLines="0" zoomScale="80" zoomScaleNormal="80" workbookViewId="0">
      <selection activeCell="E7" sqref="E7"/>
    </sheetView>
  </sheetViews>
  <sheetFormatPr defaultColWidth="20.54296875" defaultRowHeight="30" customHeight="1" outlineLevelCol="1"/>
  <cols>
    <col min="1" max="1" width="2.6328125" style="3" customWidth="1"/>
    <col min="2" max="10" width="20.6328125" style="3" customWidth="1"/>
    <col min="11" max="11" width="2.6328125" style="3" customWidth="1"/>
    <col min="12" max="12" width="20.54296875" style="3"/>
    <col min="13" max="16" width="0" style="3" hidden="1" customWidth="1" outlineLevel="1"/>
    <col min="17" max="17" width="20.54296875" style="3" collapsed="1"/>
    <col min="18" max="16384" width="20.54296875" style="3"/>
  </cols>
  <sheetData>
    <row r="1" spans="1:16" ht="10" customHeight="1">
      <c r="A1" s="5"/>
      <c r="B1" s="5"/>
      <c r="C1" s="5"/>
      <c r="D1" s="5"/>
      <c r="E1" s="5"/>
      <c r="F1" s="5"/>
      <c r="G1" s="5"/>
      <c r="H1" s="5"/>
      <c r="I1" s="5"/>
      <c r="J1" s="5"/>
      <c r="K1" s="5"/>
      <c r="L1" s="5"/>
      <c r="M1" s="2"/>
      <c r="N1" s="2"/>
    </row>
    <row r="2" spans="1:16" ht="50.15" customHeight="1">
      <c r="B2" s="12" t="s">
        <v>226</v>
      </c>
      <c r="C2" s="44"/>
      <c r="D2" s="44"/>
      <c r="E2" s="44"/>
      <c r="F2" s="44"/>
      <c r="G2" s="44"/>
      <c r="H2" s="44"/>
      <c r="I2" s="44"/>
      <c r="J2" s="39" t="e" vm="1">
        <v>#VALUE!</v>
      </c>
      <c r="K2" s="44"/>
      <c r="L2" s="44"/>
      <c r="M2" s="44"/>
      <c r="N2" s="44"/>
    </row>
    <row r="3" spans="1:16" ht="20.149999999999999" customHeight="1">
      <c r="A3" s="2"/>
      <c r="B3" s="11" t="s">
        <v>0</v>
      </c>
      <c r="C3" s="44"/>
      <c r="D3" s="44"/>
      <c r="E3" s="44"/>
      <c r="F3" s="44"/>
      <c r="G3" s="44"/>
      <c r="H3" s="44"/>
      <c r="I3" s="44"/>
      <c r="J3" s="44"/>
      <c r="K3" s="44"/>
      <c r="L3" s="44"/>
      <c r="M3" s="44"/>
      <c r="N3" s="44"/>
    </row>
    <row r="4" spans="1:16" ht="20.149999999999999" customHeight="1">
      <c r="A4" s="5"/>
      <c r="B4" s="11" t="s">
        <v>9</v>
      </c>
      <c r="C4" s="44"/>
      <c r="D4" s="44"/>
      <c r="E4" s="44"/>
      <c r="F4" s="44"/>
      <c r="G4" s="5"/>
      <c r="H4" s="2"/>
      <c r="I4" s="2"/>
      <c r="J4" s="2"/>
      <c r="K4" s="2"/>
      <c r="L4" s="2"/>
      <c r="M4" s="2"/>
      <c r="N4" s="2"/>
    </row>
    <row r="5" spans="1:16" ht="20.149999999999999" customHeight="1">
      <c r="A5" s="5"/>
      <c r="B5" s="2"/>
      <c r="C5" s="2"/>
      <c r="D5" s="2"/>
      <c r="E5" s="2"/>
      <c r="F5" s="2"/>
      <c r="G5" s="5"/>
      <c r="M5" s="44"/>
      <c r="N5" s="44"/>
    </row>
    <row r="6" spans="1:16" ht="30" customHeight="1">
      <c r="A6" s="5"/>
      <c r="B6" s="135" t="s">
        <v>12</v>
      </c>
      <c r="C6" s="136"/>
      <c r="D6" s="136"/>
      <c r="E6" s="136"/>
      <c r="F6" s="136"/>
      <c r="G6" s="136"/>
      <c r="H6" s="136"/>
      <c r="I6" s="136"/>
      <c r="J6" s="136"/>
      <c r="K6" s="2"/>
      <c r="L6" s="44"/>
      <c r="M6" s="108" t="s">
        <v>225</v>
      </c>
      <c r="N6" s="109"/>
      <c r="O6" s="109"/>
      <c r="P6" s="109"/>
    </row>
    <row r="7" spans="1:16" ht="20.149999999999999" customHeight="1">
      <c r="A7" s="5"/>
      <c r="K7" s="2"/>
      <c r="L7" s="44"/>
    </row>
    <row r="8" spans="1:16" ht="30" customHeight="1">
      <c r="A8" s="5"/>
      <c r="B8" s="108" t="s">
        <v>227</v>
      </c>
      <c r="C8" s="109"/>
      <c r="D8" s="109"/>
      <c r="E8" s="109"/>
      <c r="F8" s="109"/>
      <c r="G8" s="109"/>
      <c r="H8" s="109"/>
      <c r="I8" s="109"/>
      <c r="J8" s="109"/>
      <c r="K8" s="2"/>
      <c r="L8" s="44"/>
      <c r="M8" s="66" t="s">
        <v>65</v>
      </c>
      <c r="N8" s="67" t="s">
        <v>66</v>
      </c>
      <c r="O8" s="67" t="s">
        <v>45</v>
      </c>
      <c r="P8" s="68" t="s">
        <v>67</v>
      </c>
    </row>
    <row r="9" spans="1:16" ht="20.149999999999999" customHeight="1">
      <c r="A9" s="5"/>
      <c r="B9" s="5"/>
      <c r="C9" s="5"/>
      <c r="D9" s="5"/>
      <c r="E9" s="5"/>
      <c r="F9" s="44"/>
      <c r="G9" s="5"/>
      <c r="H9" s="44"/>
      <c r="I9" s="44"/>
      <c r="J9" s="44"/>
      <c r="K9" s="2"/>
      <c r="L9" s="44"/>
      <c r="M9" s="69">
        <f>$I$37</f>
        <v>1</v>
      </c>
      <c r="N9" s="60">
        <f>$I$38</f>
        <v>2</v>
      </c>
      <c r="O9" s="60" t="str">
        <f>$B$58</f>
        <v>Base</v>
      </c>
      <c r="P9" s="70">
        <f>IF(ISNUMBER($G$58),$G$58,"")</f>
        <v>3</v>
      </c>
    </row>
    <row r="10" spans="1:16" s="17" customFormat="1" ht="30" customHeight="1">
      <c r="A10" s="43"/>
      <c r="B10" s="133" t="str">
        <f>"Internal QA: "&amp;$H$83&amp;IF($H$83="PASS"," — equation residuals, midpoint symmetry, and reverse-slope checks reconcile.",IF($H$83="INVALID INPUT"," — repeated points do not define a unique line."," — review the current inputs or tolerance."))</f>
        <v>Internal QA: PASS — equation residuals, midpoint symmetry, and reverse-slope checks reconcile.</v>
      </c>
      <c r="C10" s="134"/>
      <c r="D10" s="134"/>
      <c r="E10" s="134"/>
      <c r="F10" s="134"/>
      <c r="G10" s="134"/>
      <c r="H10" s="134"/>
      <c r="I10" s="134"/>
      <c r="J10" s="134"/>
      <c r="K10" s="25"/>
      <c r="M10" s="69">
        <f>$I$39</f>
        <v>3</v>
      </c>
      <c r="N10" s="60">
        <f>$I$40</f>
        <v>8</v>
      </c>
      <c r="O10" s="60" t="str">
        <f>$B$59</f>
        <v>Steeper</v>
      </c>
      <c r="P10" s="70">
        <f>IF(ISNUMBER($G$59),$G$59,"")</f>
        <v>5</v>
      </c>
    </row>
    <row r="11" spans="1:16" ht="20.149999999999999" customHeight="1">
      <c r="M11" s="69"/>
      <c r="N11" s="60"/>
      <c r="O11" s="60" t="str">
        <f>$B$60</f>
        <v>Flatter</v>
      </c>
      <c r="P11" s="70">
        <f>IF(ISNUMBER($G$60),$G$60,"")</f>
        <v>1</v>
      </c>
    </row>
    <row r="12" spans="1:16" s="17" customFormat="1" ht="30" customHeight="1">
      <c r="A12" s="43"/>
      <c r="B12" s="133" t="str">
        <f>IF($C$71=1,"The two points coincide, so they do not define a unique line. Change either Point 2 coordinate.",IF(ABS($C$69)&lt;='Settings &amp; Guide'!$I$19,"The run is zero, so the line is vertical at x = "&amp;TEXT(IF('Settings &amp; Guide'!$I$16="Nearest",ROUND($I$37,'Settings &amp; Guide'!$I$15),IF('Settings &amp; Guide'!$I$16="Up",ROUNDUP($I$37,'Settings &amp; Guide'!$I$15),ROUNDDOWN($I$37,'Settings &amp; Guide'!$I$15))),'Settings &amp; Guide'!$I$20)&amp;" and its slope is undefined.",IF(ABS($C$70)&lt;='Settings &amp; Guide'!$I$19,"The rise is zero, so the line is horizontal with slope 0.",IF($C$72&gt;0,"The line rises from left to right. A 1-unit increase in x changes y by about "&amp;TEXT(ABS(IF('Settings &amp; Guide'!$I$16="Nearest",ROUND($C$72,'Settings &amp; Guide'!$I$15),IF('Settings &amp; Guide'!$I$16="Up",ROUNDUP($C$72,'Settings &amp; Guide'!$I$15),ROUNDDOWN($C$72,'Settings &amp; Guide'!$I$15)))),'Settings &amp; Guide'!$I$20)&amp;" units.","The line falls from left to right. A 1-unit increase in x changes y by about "&amp;TEXT(ABS(IF('Settings &amp; Guide'!$I$16="Nearest",ROUND($C$72,'Settings &amp; Guide'!$I$15),IF('Settings &amp; Guide'!$I$16="Up",ROUNDUP($C$72,'Settings &amp; Guide'!$I$15),ROUNDDOWN($C$72,'Settings &amp; Guide'!$I$15)))),'Settings &amp; Guide'!$I$20)&amp;" units."))))</f>
        <v>The line rises from left to right. A 1-unit increase in x changes y by about 3.00 units.</v>
      </c>
      <c r="C12" s="134"/>
      <c r="D12" s="134"/>
      <c r="E12" s="134"/>
      <c r="F12" s="134"/>
      <c r="G12" s="134"/>
      <c r="H12" s="134"/>
      <c r="I12" s="134"/>
      <c r="J12" s="134"/>
      <c r="K12" s="25"/>
      <c r="M12" s="69"/>
      <c r="N12" s="60"/>
      <c r="O12" s="60" t="str">
        <f>$B$61</f>
        <v>Negative</v>
      </c>
      <c r="P12" s="70">
        <f>IF(ISNUMBER($G$61),$G$61,"")</f>
        <v>-1</v>
      </c>
    </row>
    <row r="13" spans="1:16" ht="20.149999999999999" customHeight="1">
      <c r="A13" s="5"/>
      <c r="B13" s="7"/>
      <c r="C13" s="44"/>
      <c r="D13" s="44"/>
      <c r="E13" s="44"/>
      <c r="F13" s="44"/>
      <c r="G13" s="5"/>
      <c r="H13" s="44"/>
      <c r="I13" s="44"/>
      <c r="J13" s="44"/>
      <c r="K13" s="2"/>
      <c r="L13" s="44"/>
      <c r="M13" s="71"/>
      <c r="N13" s="72"/>
      <c r="O13" s="72" t="str">
        <f>$B$62</f>
        <v>Vertical</v>
      </c>
      <c r="P13" s="73" t="str">
        <f>IF(ISNUMBER($G$62),$G$62,"")</f>
        <v/>
      </c>
    </row>
    <row r="14" spans="1:16" ht="30" customHeight="1">
      <c r="A14" s="5"/>
      <c r="B14" s="108" t="s">
        <v>235</v>
      </c>
      <c r="C14" s="109"/>
      <c r="D14" s="109"/>
      <c r="E14" s="109"/>
      <c r="F14" s="109"/>
      <c r="G14" s="108" t="s">
        <v>234</v>
      </c>
      <c r="H14" s="109"/>
      <c r="I14" s="109"/>
      <c r="J14" s="109"/>
      <c r="K14" s="109"/>
      <c r="L14" s="44"/>
      <c r="M14" s="44"/>
      <c r="N14" s="44"/>
    </row>
    <row r="15" spans="1:16" ht="20.149999999999999" customHeight="1">
      <c r="A15" s="2"/>
      <c r="B15" s="2"/>
      <c r="C15" s="2"/>
      <c r="D15" s="2"/>
      <c r="E15" s="2"/>
      <c r="F15" s="2"/>
      <c r="G15" s="2"/>
      <c r="H15" s="2"/>
      <c r="I15" s="2"/>
      <c r="J15" s="2"/>
      <c r="K15" s="2"/>
      <c r="L15" s="2"/>
      <c r="M15" s="2"/>
      <c r="N15" s="2"/>
    </row>
    <row r="16" spans="1:16" ht="20.149999999999999" customHeight="1">
      <c r="A16" s="5"/>
      <c r="B16" s="6"/>
      <c r="C16" s="6"/>
      <c r="D16" s="6"/>
      <c r="E16" s="6"/>
      <c r="F16" s="47"/>
      <c r="G16" s="47"/>
      <c r="H16" s="47"/>
      <c r="I16" s="47"/>
      <c r="J16" s="47"/>
      <c r="K16" s="2"/>
      <c r="L16" s="2"/>
      <c r="M16" s="2"/>
      <c r="N16" s="2"/>
    </row>
    <row r="17" spans="1:14" ht="20.149999999999999" customHeight="1">
      <c r="A17" s="5"/>
      <c r="B17" s="6"/>
      <c r="C17" s="6"/>
      <c r="D17" s="6"/>
      <c r="E17" s="6"/>
      <c r="F17" s="47"/>
      <c r="G17" s="47"/>
      <c r="H17" s="47"/>
      <c r="I17" s="47"/>
      <c r="J17" s="47"/>
      <c r="K17" s="2"/>
      <c r="L17" s="2"/>
      <c r="M17" s="2"/>
      <c r="N17" s="2"/>
    </row>
    <row r="18" spans="1:14" ht="20.149999999999999" customHeight="1">
      <c r="A18" s="5"/>
      <c r="B18" s="6"/>
      <c r="C18" s="6"/>
      <c r="D18" s="6"/>
      <c r="E18" s="6"/>
      <c r="F18" s="47"/>
      <c r="G18" s="47"/>
      <c r="H18" s="47"/>
      <c r="I18" s="47"/>
      <c r="J18" s="47"/>
      <c r="K18" s="2"/>
      <c r="L18" s="2"/>
      <c r="M18" s="2"/>
      <c r="N18" s="2"/>
    </row>
    <row r="19" spans="1:14" ht="20.149999999999999" customHeight="1">
      <c r="A19" s="5"/>
      <c r="B19" s="6"/>
      <c r="C19" s="6"/>
      <c r="D19" s="6"/>
      <c r="E19" s="6"/>
      <c r="F19" s="47"/>
      <c r="G19" s="47"/>
      <c r="H19" s="47"/>
      <c r="I19" s="47"/>
      <c r="J19" s="47"/>
      <c r="K19" s="2"/>
      <c r="L19" s="2"/>
      <c r="M19" s="2"/>
      <c r="N19" s="2"/>
    </row>
    <row r="20" spans="1:14" ht="20.149999999999999" customHeight="1">
      <c r="A20" s="5"/>
      <c r="B20" s="6"/>
      <c r="C20" s="6"/>
      <c r="D20" s="6"/>
      <c r="E20" s="6"/>
      <c r="F20" s="47"/>
      <c r="G20" s="47"/>
      <c r="H20" s="47"/>
      <c r="I20" s="47"/>
      <c r="J20" s="47"/>
      <c r="K20" s="2"/>
      <c r="L20" s="2"/>
      <c r="M20" s="2"/>
      <c r="N20" s="2"/>
    </row>
    <row r="21" spans="1:14" ht="20.149999999999999" customHeight="1">
      <c r="A21" s="5"/>
      <c r="B21" s="6"/>
      <c r="C21" s="6"/>
      <c r="D21" s="6"/>
      <c r="E21" s="6"/>
      <c r="F21" s="47"/>
      <c r="G21" s="47"/>
      <c r="H21" s="47"/>
      <c r="I21" s="47"/>
      <c r="J21" s="47"/>
      <c r="K21" s="2"/>
      <c r="L21" s="2"/>
      <c r="M21" s="2"/>
      <c r="N21" s="2"/>
    </row>
    <row r="22" spans="1:14" ht="20.149999999999999" customHeight="1">
      <c r="A22" s="5"/>
      <c r="B22" s="6"/>
      <c r="C22" s="6"/>
      <c r="D22" s="6"/>
      <c r="E22" s="6"/>
      <c r="F22" s="47"/>
      <c r="G22" s="47"/>
      <c r="H22" s="47"/>
      <c r="I22" s="47"/>
      <c r="J22" s="47"/>
      <c r="K22" s="2"/>
      <c r="L22" s="2"/>
      <c r="M22" s="2"/>
      <c r="N22" s="2"/>
    </row>
    <row r="23" spans="1:14" ht="20.149999999999999" customHeight="1">
      <c r="A23" s="5"/>
      <c r="B23" s="6"/>
      <c r="C23" s="6"/>
      <c r="D23" s="6"/>
      <c r="E23" s="6"/>
      <c r="F23" s="47"/>
      <c r="G23" s="47"/>
      <c r="H23" s="47"/>
      <c r="I23" s="47"/>
      <c r="J23" s="47"/>
      <c r="K23" s="2"/>
      <c r="L23" s="2"/>
      <c r="M23" s="2"/>
      <c r="N23" s="2"/>
    </row>
    <row r="24" spans="1:14" ht="20.149999999999999" customHeight="1">
      <c r="A24" s="5"/>
      <c r="B24" s="6"/>
      <c r="C24" s="6"/>
      <c r="D24" s="6"/>
      <c r="E24" s="6"/>
      <c r="F24" s="47"/>
      <c r="G24" s="47"/>
      <c r="H24" s="47"/>
      <c r="I24" s="47"/>
      <c r="J24" s="47"/>
      <c r="K24" s="2"/>
      <c r="L24" s="2"/>
      <c r="M24" s="2"/>
      <c r="N24" s="2"/>
    </row>
    <row r="25" spans="1:14" ht="20.149999999999999" customHeight="1">
      <c r="A25" s="5"/>
      <c r="B25" s="6"/>
      <c r="C25" s="6"/>
      <c r="D25" s="6"/>
      <c r="E25" s="6"/>
      <c r="F25" s="47"/>
      <c r="G25" s="47"/>
      <c r="H25" s="47"/>
      <c r="I25" s="47"/>
      <c r="J25" s="47"/>
      <c r="K25" s="2"/>
      <c r="L25" s="2"/>
      <c r="M25" s="2"/>
      <c r="N25" s="2"/>
    </row>
    <row r="26" spans="1:14" ht="20.149999999999999" customHeight="1">
      <c r="A26" s="5"/>
      <c r="B26" s="6"/>
      <c r="C26" s="6"/>
      <c r="D26" s="6"/>
      <c r="E26" s="6"/>
      <c r="F26" s="47"/>
      <c r="G26" s="47"/>
      <c r="H26" s="47"/>
      <c r="I26" s="47"/>
      <c r="J26" s="47"/>
      <c r="K26" s="2"/>
      <c r="L26" s="2"/>
      <c r="M26" s="2"/>
      <c r="N26" s="2"/>
    </row>
    <row r="27" spans="1:14" ht="20.149999999999999" customHeight="1">
      <c r="A27" s="5"/>
      <c r="B27" s="5"/>
      <c r="C27" s="5"/>
      <c r="D27" s="5"/>
      <c r="E27" s="2"/>
      <c r="F27" s="2"/>
      <c r="G27" s="5"/>
      <c r="H27" s="5"/>
      <c r="I27" s="5"/>
      <c r="J27" s="5"/>
      <c r="K27" s="2"/>
      <c r="L27" s="2"/>
      <c r="M27" s="2"/>
      <c r="N27" s="2"/>
    </row>
    <row r="28" spans="1:14" s="1" customFormat="1" ht="30" customHeight="1">
      <c r="B28" s="108" t="s">
        <v>228</v>
      </c>
      <c r="C28" s="109"/>
      <c r="D28" s="109"/>
      <c r="E28" s="109"/>
      <c r="F28" s="13"/>
      <c r="G28" s="108" t="s">
        <v>229</v>
      </c>
      <c r="H28" s="109"/>
      <c r="I28" s="109"/>
      <c r="J28" s="109"/>
      <c r="K28" s="44"/>
    </row>
    <row r="29" spans="1:14" ht="20.149999999999999" customHeight="1">
      <c r="A29" s="2"/>
      <c r="B29" s="5"/>
      <c r="C29" s="5"/>
      <c r="D29" s="5"/>
      <c r="E29" s="5"/>
      <c r="F29" s="2"/>
      <c r="G29" s="46"/>
      <c r="H29" s="46"/>
      <c r="K29" s="5"/>
      <c r="L29" s="2"/>
      <c r="M29" s="2"/>
      <c r="N29" s="2"/>
    </row>
    <row r="30" spans="1:14" ht="30" customHeight="1">
      <c r="A30" s="5"/>
      <c r="B30" s="28" t="s">
        <v>13</v>
      </c>
      <c r="C30" s="38" t="s">
        <v>14</v>
      </c>
      <c r="D30" s="123" t="s">
        <v>15</v>
      </c>
      <c r="E30" s="124"/>
      <c r="F30" s="2"/>
      <c r="G30" s="125" t="s">
        <v>20</v>
      </c>
      <c r="H30" s="125"/>
      <c r="I30" s="125"/>
      <c r="J30" s="100" t="str">
        <f>IF($C$71=1,"No unique line",IF(ABS($C$69)&lt;='Settings &amp; Guide'!$I$19,"x = "&amp;TEXT(IF('Settings &amp; Guide'!$I$16="Nearest",ROUND($I$37,'Settings &amp; Guide'!$I$15),IF('Settings &amp; Guide'!$I$16="Up",ROUNDUP($I$37,'Settings &amp; Guide'!$I$15),ROUNDDOWN($I$37,'Settings &amp; Guide'!$I$15))),'Settings &amp; Guide'!$I$20),"y = "&amp;TEXT(IF('Settings &amp; Guide'!$I$16="Nearest",ROUND($C$72,'Settings &amp; Guide'!$I$15),IF('Settings &amp; Guide'!$I$16="Up",ROUNDUP($C$72,'Settings &amp; Guide'!$I$15),ROUNDDOWN($C$72,'Settings &amp; Guide'!$I$15))),'Settings &amp; Guide'!$I$20)&amp;"x "&amp;IF($C$78&lt;0,"- ","+ ")&amp;TEXT(ABS(IF('Settings &amp; Guide'!$I$16="Nearest",ROUND($C$78,'Settings &amp; Guide'!$I$15),IF('Settings &amp; Guide'!$I$16="Up",ROUNDUP($C$78,'Settings &amp; Guide'!$I$15),ROUNDDOWN($C$78,'Settings &amp; Guide'!$I$15)))),'Settings &amp; Guide'!$I$20)))</f>
        <v>y = 3.00x - 1.00</v>
      </c>
    </row>
    <row r="31" spans="1:14" ht="20.149999999999999" customHeight="1">
      <c r="A31" s="5"/>
      <c r="B31" s="37" t="s">
        <v>16</v>
      </c>
      <c r="C31" s="37">
        <f>IF('Settings &amp; Guide'!$I$16="Nearest",ROUND($C$69,'Settings &amp; Guide'!$I$15),IF('Settings &amp; Guide'!$I$16="Up",ROUNDUP($C$69,'Settings &amp; Guide'!$I$15),ROUNDDOWN($C$69,'Settings &amp; Guide'!$I$15)))</f>
        <v>2</v>
      </c>
      <c r="D31" s="137" t="s">
        <v>17</v>
      </c>
      <c r="E31" s="138"/>
      <c r="F31" s="2"/>
      <c r="G31" s="125" t="s">
        <v>28</v>
      </c>
      <c r="H31" s="125"/>
      <c r="I31" s="125"/>
      <c r="J31" s="100" t="str">
        <f>IF($C$71=1,"No unique line",IF(ABS($C$69)&lt;='Settings &amp; Guide'!$I$19,"x = "&amp;TEXT(IF('Settings &amp; Guide'!$I$16="Nearest",ROUND($I$37,'Settings &amp; Guide'!$I$15),IF('Settings &amp; Guide'!$I$16="Up",ROUNDUP($I$37,'Settings &amp; Guide'!$I$15),ROUNDDOWN($I$37,'Settings &amp; Guide'!$I$15))),'Settings &amp; Guide'!$I$20),"y "&amp;IF($I$38&lt;0,"+ ","- ")&amp;TEXT(ABS(IF('Settings &amp; Guide'!$I$16="Nearest",ROUND($I$38,'Settings &amp; Guide'!$I$15),IF('Settings &amp; Guide'!$I$16="Up",ROUNDUP($I$38,'Settings &amp; Guide'!$I$15),ROUNDDOWN($I$38,'Settings &amp; Guide'!$I$15)))),'Settings &amp; Guide'!$I$20)&amp;" = "&amp;TEXT(IF('Settings &amp; Guide'!$I$16="Nearest",ROUND($C$72,'Settings &amp; Guide'!$I$15),IF('Settings &amp; Guide'!$I$16="Up",ROUNDUP($C$72,'Settings &amp; Guide'!$I$15),ROUNDDOWN($C$72,'Settings &amp; Guide'!$I$15))),'Settings &amp; Guide'!$I$20)&amp;"(x "&amp;IF($I$37&lt;0,"+ ","- ")&amp;TEXT(ABS(IF('Settings &amp; Guide'!$I$16="Nearest",ROUND($I$37,'Settings &amp; Guide'!$I$15),IF('Settings &amp; Guide'!$I$16="Up",ROUNDUP($I$37,'Settings &amp; Guide'!$I$15),ROUNDDOWN($I$37,'Settings &amp; Guide'!$I$15)))),'Settings &amp; Guide'!$I$20)&amp;")"))</f>
        <v>y - 2.00 = 3.00(x - 1.00)</v>
      </c>
    </row>
    <row r="32" spans="1:14" ht="20.149999999999999" customHeight="1">
      <c r="A32" s="5"/>
      <c r="B32" s="34" t="s">
        <v>18</v>
      </c>
      <c r="C32" s="34">
        <f>IF('Settings &amp; Guide'!$I$16="Nearest",ROUND($C$70,'Settings &amp; Guide'!$I$15),IF('Settings &amp; Guide'!$I$16="Up",ROUNDUP($C$70,'Settings &amp; Guide'!$I$15),ROUNDDOWN($C$70,'Settings &amp; Guide'!$I$15)))</f>
        <v>6</v>
      </c>
      <c r="D32" s="112" t="s">
        <v>19</v>
      </c>
      <c r="E32" s="113"/>
      <c r="F32" s="2"/>
      <c r="G32" s="125" t="s">
        <v>35</v>
      </c>
      <c r="H32" s="125"/>
      <c r="I32" s="125"/>
      <c r="J32" s="100" t="str">
        <f>IF($C$71=1,"No unique line",TEXT(IF('Settings &amp; Guide'!$I$16="Nearest",ROUND($H$75,'Settings &amp; Guide'!$I$15),IF('Settings &amp; Guide'!$I$16="Up",ROUNDUP($H$75,'Settings &amp; Guide'!$I$15),ROUNDDOWN($H$75,'Settings &amp; Guide'!$I$15))),'Settings &amp; Guide'!$I$20)&amp;"x "&amp;IF($H$76&lt;0,"- ","+ ")&amp;TEXT(ABS(IF('Settings &amp; Guide'!$I$16="Nearest",ROUND($H$76,'Settings &amp; Guide'!$I$15),IF('Settings &amp; Guide'!$I$16="Up",ROUNDUP($H$76,'Settings &amp; Guide'!$I$15),ROUNDDOWN($H$76,'Settings &amp; Guide'!$I$15)))),'Settings &amp; Guide'!$I$20)&amp;"y "&amp;IF($H$77&lt;0,"- ","+ ")&amp;TEXT(ABS(IF('Settings &amp; Guide'!$I$16="Nearest",ROUND($H$77,'Settings &amp; Guide'!$I$15),IF('Settings &amp; Guide'!$I$16="Up",ROUNDUP($H$77,'Settings &amp; Guide'!$I$15),ROUNDDOWN($H$77,'Settings &amp; Guide'!$I$15)))),'Settings &amp; Guide'!$I$20)&amp;" = 0")</f>
        <v>3.00x - 1.00y - 1.00 = 0</v>
      </c>
    </row>
    <row r="33" spans="1:14" ht="20.149999999999999" customHeight="1">
      <c r="A33" s="5"/>
      <c r="B33" s="34" t="s">
        <v>21</v>
      </c>
      <c r="C33" s="34">
        <f>IF($C$71=1,"No unique line",IF(ABS($C$69)&lt;='Settings &amp; Guide'!$I$19,"Undefined",IF('Settings &amp; Guide'!$I$16="Nearest",ROUND($C$72,'Settings &amp; Guide'!$I$15),IF('Settings &amp; Guide'!$I$16="Up",ROUNDUP($C$72,'Settings &amp; Guide'!$I$15),ROUNDDOWN($C$72,'Settings &amp; Guide'!$I$15)))))</f>
        <v>3</v>
      </c>
      <c r="D33" s="112" t="s">
        <v>22</v>
      </c>
      <c r="E33" s="113"/>
      <c r="F33" s="2"/>
    </row>
    <row r="34" spans="1:14" ht="20.149999999999999" customHeight="1">
      <c r="A34" s="5"/>
      <c r="B34" s="34" t="s">
        <v>23</v>
      </c>
      <c r="C34" s="34">
        <f>IF($C$71=1,"No unique line",IF('Settings &amp; Guide'!$I$16="Nearest",ROUND($C$74,'Settings &amp; Guide'!$I$15),IF('Settings &amp; Guide'!$I$16="Up",ROUNDUP($C$74,'Settings &amp; Guide'!$I$15),ROUNDDOWN($C$74,'Settings &amp; Guide'!$I$15))))</f>
        <v>71.569999999999993</v>
      </c>
      <c r="D34" s="112" t="s">
        <v>24</v>
      </c>
      <c r="E34" s="113"/>
      <c r="F34" s="2"/>
      <c r="G34" s="108" t="s">
        <v>1</v>
      </c>
      <c r="H34" s="109"/>
      <c r="I34" s="109"/>
      <c r="J34" s="109"/>
    </row>
    <row r="35" spans="1:14" ht="20.149999999999999" customHeight="1">
      <c r="A35" s="5"/>
      <c r="B35" s="34" t="s">
        <v>25</v>
      </c>
      <c r="C35" s="34">
        <f>IF('Settings &amp; Guide'!$I$16="Nearest",ROUND($C$75,'Settings &amp; Guide'!$I$15),IF('Settings &amp; Guide'!$I$16="Up",ROUNDUP($C$75,'Settings &amp; Guide'!$I$15),ROUNDDOWN($C$75,'Settings &amp; Guide'!$I$15)))</f>
        <v>6.32</v>
      </c>
      <c r="D35" s="112" t="s">
        <v>26</v>
      </c>
      <c r="E35" s="113"/>
      <c r="F35" s="2"/>
      <c r="G35" s="108"/>
      <c r="H35" s="109"/>
      <c r="I35" s="109"/>
      <c r="J35" s="109"/>
    </row>
    <row r="36" spans="1:14" ht="20.149999999999999" customHeight="1">
      <c r="A36" s="5"/>
      <c r="B36" s="34" t="s">
        <v>16</v>
      </c>
      <c r="C36" s="34">
        <f>IF('Settings &amp; Guide'!$I$16="Nearest",ROUND($C$76,'Settings &amp; Guide'!$I$15),IF('Settings &amp; Guide'!$I$16="Up",ROUNDUP($C$76,'Settings &amp; Guide'!$I$15),ROUNDDOWN($C$76,'Settings &amp; Guide'!$I$15)))</f>
        <v>2</v>
      </c>
      <c r="D36" s="112" t="s">
        <v>257</v>
      </c>
      <c r="E36" s="113"/>
      <c r="G36" s="2"/>
      <c r="H36" s="2"/>
      <c r="I36" s="2"/>
    </row>
    <row r="37" spans="1:14" ht="20.149999999999999" customHeight="1">
      <c r="A37" s="5"/>
      <c r="B37" s="34" t="s">
        <v>18</v>
      </c>
      <c r="C37" s="34">
        <f>IF('Settings &amp; Guide'!$I$16="Nearest",ROUND($C$77,'Settings &amp; Guide'!$I$15),IF('Settings &amp; Guide'!$I$16="Up",ROUNDUP($C$77,'Settings &amp; Guide'!$I$15),ROUNDDOWN($C$77,'Settings &amp; Guide'!$I$15)))</f>
        <v>5</v>
      </c>
      <c r="D37" s="112" t="s">
        <v>258</v>
      </c>
      <c r="E37" s="113"/>
      <c r="F37" s="2"/>
      <c r="G37" s="127" t="s">
        <v>2</v>
      </c>
      <c r="H37" s="127"/>
      <c r="I37" s="49">
        <v>1</v>
      </c>
      <c r="J37" s="107" t="str">
        <f>'Settings &amp; Guide'!$I$18</f>
        <v>units</v>
      </c>
    </row>
    <row r="38" spans="1:14" ht="20.149999999999999" customHeight="1">
      <c r="A38" s="5"/>
      <c r="B38" s="34" t="s">
        <v>30</v>
      </c>
      <c r="C38" s="34">
        <f>IF($C$71=1,"No unique line",IF(ABS($C$69)&lt;='Settings &amp; Guide'!$I$19,"None",IF('Settings &amp; Guide'!$I$16="Nearest",ROUND($C$78,'Settings &amp; Guide'!$I$15),IF('Settings &amp; Guide'!$I$16="Up",ROUNDUP($C$78,'Settings &amp; Guide'!$I$15),ROUNDDOWN($C$78,'Settings &amp; Guide'!$I$15)))))</f>
        <v>-1</v>
      </c>
      <c r="D38" s="112" t="s">
        <v>31</v>
      </c>
      <c r="E38" s="113"/>
      <c r="F38" s="2"/>
      <c r="G38" s="127" t="s">
        <v>5</v>
      </c>
      <c r="H38" s="127"/>
      <c r="I38" s="49">
        <v>2</v>
      </c>
      <c r="J38" s="107" t="str">
        <f>'Settings &amp; Guide'!$I$18</f>
        <v>units</v>
      </c>
    </row>
    <row r="39" spans="1:14" ht="20.149999999999999" customHeight="1">
      <c r="B39" s="34" t="s">
        <v>32</v>
      </c>
      <c r="C39" s="34">
        <f>IF($C$71=1,"No unique line",IF($C$79="ALL","All x",IF($C$79="","None",IF('Settings &amp; Guide'!$I$16="Nearest",ROUND($C$79,'Settings &amp; Guide'!$I$15),IF('Settings &amp; Guide'!$I$16="Up",ROUNDUP($C$79,'Settings &amp; Guide'!$I$15),ROUNDDOWN($C$79,'Settings &amp; Guide'!$I$15))))))</f>
        <v>0.33</v>
      </c>
      <c r="D39" s="112" t="s">
        <v>33</v>
      </c>
      <c r="E39" s="113"/>
      <c r="G39" s="127" t="s">
        <v>6</v>
      </c>
      <c r="H39" s="127"/>
      <c r="I39" s="49">
        <v>3</v>
      </c>
      <c r="J39" s="107" t="str">
        <f>'Settings &amp; Guide'!$I$18</f>
        <v>units</v>
      </c>
    </row>
    <row r="40" spans="1:14" ht="20.149999999999999" customHeight="1">
      <c r="B40" s="34" t="s">
        <v>34</v>
      </c>
      <c r="C40" s="34">
        <f>IF($C$71=1,"",IF('Settings &amp; Guide'!$I$16="Nearest",ROUND($C$81,'Settings &amp; Guide'!$I$15),IF('Settings &amp; Guide'!$I$16="Up",ROUNDUP($C$81,'Settings &amp; Guide'!$I$15),ROUNDDOWN($C$81,'Settings &amp; Guide'!$I$15))))</f>
        <v>0.32</v>
      </c>
      <c r="D40" s="112" t="s">
        <v>259</v>
      </c>
      <c r="E40" s="113"/>
      <c r="G40" s="127" t="s">
        <v>8</v>
      </c>
      <c r="H40" s="127"/>
      <c r="I40" s="49">
        <v>8</v>
      </c>
      <c r="J40" s="107" t="str">
        <f>'Settings &amp; Guide'!$I$18</f>
        <v>units</v>
      </c>
    </row>
    <row r="41" spans="1:14" ht="20.149999999999999" customHeight="1">
      <c r="B41" s="34" t="s">
        <v>36</v>
      </c>
      <c r="C41" s="34">
        <f>IF($C$71=1,"",IF('Settings &amp; Guide'!$I$16="Nearest",ROUND($C$82,'Settings &amp; Guide'!$I$15),IF('Settings &amp; Guide'!$I$16="Up",ROUNDUP($C$82,'Settings &amp; Guide'!$I$15),ROUNDDOWN($C$82,'Settings &amp; Guide'!$I$15))))</f>
        <v>0.95</v>
      </c>
      <c r="D41" s="112" t="s">
        <v>262</v>
      </c>
      <c r="E41" s="113"/>
    </row>
    <row r="42" spans="1:14" ht="20.149999999999999" customHeight="1">
      <c r="B42" s="34" t="s">
        <v>37</v>
      </c>
      <c r="C42" s="34" t="str">
        <f>IF($C$71=1,"Not defined",IF(ABS($C$69)&lt;='Settings &amp; Guide'!$I$19,TEXT(IF('Settings &amp; Guide'!$I$16="Nearest",ROUND($C$70,'Settings &amp; Guide'!$I$15),IF('Settings &amp; Guide'!$I$16="Up",ROUNDUP($C$70,'Settings &amp; Guide'!$I$15),ROUNDDOWN($C$70,'Settings &amp; Guide'!$I$15))),'Settings &amp; Guide'!$I$20)&amp;" / 0",TEXT(IF('Settings &amp; Guide'!$I$16="Nearest",ROUND($C$70,'Settings &amp; Guide'!$I$15),IF('Settings &amp; Guide'!$I$16="Up",ROUNDUP($C$70,'Settings &amp; Guide'!$I$15),ROUNDDOWN($C$70,'Settings &amp; Guide'!$I$15))),'Settings &amp; Guide'!$I$20)&amp;" / "&amp;TEXT(IF('Settings &amp; Guide'!$I$16="Nearest",ROUND($C$69,'Settings &amp; Guide'!$I$15),IF('Settings &amp; Guide'!$I$16="Up",ROUNDUP($C$69,'Settings &amp; Guide'!$I$15),ROUNDDOWN($C$69,'Settings &amp; Guide'!$I$15))),'Settings &amp; Guide'!$I$20)))</f>
        <v>6.00 / 2.00</v>
      </c>
      <c r="D42" s="112" t="s">
        <v>38</v>
      </c>
      <c r="E42" s="113"/>
      <c r="I42" s="13"/>
      <c r="J42" s="13"/>
      <c r="K42" s="44"/>
    </row>
    <row r="43" spans="1:14" ht="20.149999999999999" customHeight="1">
      <c r="A43" s="5"/>
      <c r="C43" s="45"/>
      <c r="E43" s="2"/>
      <c r="H43" s="2"/>
      <c r="I43" s="2"/>
      <c r="J43" s="2"/>
      <c r="K43" s="44"/>
      <c r="L43" s="2"/>
      <c r="M43" s="2"/>
      <c r="N43" s="2"/>
    </row>
    <row r="44" spans="1:14" ht="30" customHeight="1">
      <c r="A44" s="5"/>
      <c r="B44" s="108" t="s">
        <v>230</v>
      </c>
      <c r="C44" s="109"/>
      <c r="D44" s="109"/>
      <c r="E44" s="5"/>
      <c r="G44" s="110" t="s">
        <v>231</v>
      </c>
      <c r="H44" s="111"/>
      <c r="I44" s="111"/>
      <c r="J44" s="111"/>
      <c r="K44" s="53"/>
    </row>
    <row r="45" spans="1:14" ht="20.149999999999999" customHeight="1">
      <c r="A45" s="5"/>
      <c r="B45" s="5"/>
      <c r="C45" s="5"/>
      <c r="D45" s="5"/>
      <c r="E45" s="2"/>
      <c r="F45" s="2"/>
      <c r="K45" s="54"/>
    </row>
    <row r="46" spans="1:14" s="44" customFormat="1" ht="30" customHeight="1">
      <c r="A46" s="96"/>
      <c r="B46" s="116" t="s">
        <v>39</v>
      </c>
      <c r="C46" s="117"/>
      <c r="D46" s="118"/>
      <c r="E46" s="97"/>
      <c r="F46" s="97"/>
      <c r="G46" s="114" t="s">
        <v>3</v>
      </c>
      <c r="H46" s="115"/>
      <c r="I46" s="121">
        <f>IF($C$71=1,"No unique line",IF(ABS($C$69)&lt;='Settings &amp; Guide'!$I$19,"Undefined",IF('Settings &amp; Guide'!$I$16="Nearest",ROUND($C$72,'Settings &amp; Guide'!$I$15),IF('Settings &amp; Guide'!$I$16="Up",ROUNDUP($C$72,'Settings &amp; Guide'!$I$15),ROUNDDOWN($C$72,'Settings &amp; Guide'!$I$15)))))</f>
        <v>3</v>
      </c>
      <c r="J46" s="122"/>
    </row>
    <row r="47" spans="1:14" ht="20.149999999999999" customHeight="1">
      <c r="A47" s="5"/>
      <c r="B47" s="37" t="s">
        <v>40</v>
      </c>
      <c r="C47" s="50">
        <v>5</v>
      </c>
      <c r="D47" s="51" t="str">
        <f>'Settings &amp; Guide'!$I$18</f>
        <v>units</v>
      </c>
      <c r="G47" s="114" t="str">
        <f>"DISTANCE ("&amp;'Settings &amp; Guide'!$I$18&amp;")"</f>
        <v>DISTANCE (units)</v>
      </c>
      <c r="H47" s="115"/>
      <c r="I47" s="121">
        <f>IF('Settings &amp; Guide'!$I$16="Nearest",ROUND($C$75,'Settings &amp; Guide'!$I$15),IF('Settings &amp; Guide'!$I$16="Up",ROUNDUP($C$75,'Settings &amp; Guide'!$I$15),ROUNDDOWN($C$75,'Settings &amp; Guide'!$I$15)))</f>
        <v>6.32</v>
      </c>
      <c r="J47" s="122"/>
      <c r="K47" s="53"/>
    </row>
    <row r="48" spans="1:14" ht="20.149999999999999" customHeight="1">
      <c r="A48" s="5"/>
      <c r="B48" s="34" t="s">
        <v>42</v>
      </c>
      <c r="C48" s="49">
        <v>11</v>
      </c>
      <c r="D48" s="18" t="str">
        <f>'Settings &amp; Guide'!$I$18</f>
        <v>units</v>
      </c>
      <c r="G48" s="114" t="s">
        <v>7</v>
      </c>
      <c r="H48" s="115"/>
      <c r="I48" s="121" t="str">
        <f>IF($C$71=1,"("&amp;TEXT(IF('Settings &amp; Guide'!$I$16="Nearest",ROUND($C$76,'Settings &amp; Guide'!$I$15),IF('Settings &amp; Guide'!$I$16="Up",ROUNDUP($C$76,'Settings &amp; Guide'!$I$15),ROUNDDOWN($C$76,'Settings &amp; Guide'!$I$15))),'Settings &amp; Guide'!$I$20)&amp;", "&amp;TEXT(IF('Settings &amp; Guide'!$I$16="Nearest",ROUND($C$77,'Settings &amp; Guide'!$I$15),IF('Settings &amp; Guide'!$I$16="Up",ROUNDUP($C$77,'Settings &amp; Guide'!$I$15),ROUNDDOWN($C$77,'Settings &amp; Guide'!$I$15))),'Settings &amp; Guide'!$I$20)&amp;")","("&amp;TEXT(IF('Settings &amp; Guide'!$I$16="Nearest",ROUND($C$76,'Settings &amp; Guide'!$I$15),IF('Settings &amp; Guide'!$I$16="Up",ROUNDUP($C$76,'Settings &amp; Guide'!$I$15),ROUNDDOWN($C$76,'Settings &amp; Guide'!$I$15))),'Settings &amp; Guide'!$I$20)&amp;", "&amp;TEXT(IF('Settings &amp; Guide'!$I$16="Nearest",ROUND($C$77,'Settings &amp; Guide'!$I$15),IF('Settings &amp; Guide'!$I$16="Up",ROUNDUP($C$77,'Settings &amp; Guide'!$I$15),ROUNDDOWN($C$77,'Settings &amp; Guide'!$I$15))),'Settings &amp; Guide'!$I$20)&amp;")")</f>
        <v>(2.00, 5.00)</v>
      </c>
      <c r="J48" s="122"/>
      <c r="K48" s="54"/>
    </row>
    <row r="49" spans="1:14" ht="20.149999999999999" customHeight="1">
      <c r="A49" s="5"/>
      <c r="B49" s="37" t="s">
        <v>41</v>
      </c>
      <c r="C49" s="98">
        <f>IF($C$71=1,"No unique line",IF(ABS($C$69)&lt;='Settings &amp; Guide'!$I$19,IF(ABS($C$47-$I$37)&lt;='Settings &amp; Guide'!$I$19,"Any y","No point"),IF('Settings &amp; Guide'!$I$16="Nearest",ROUND($C$72*$C$47+$C$78,'Settings &amp; Guide'!$I$15),IF('Settings &amp; Guide'!$I$16="Up",ROUNDUP($C$72*$C$47+$C$78,'Settings &amp; Guide'!$I$15),ROUNDDOWN($C$72*$C$47+$C$78,'Settings &amp; Guide'!$I$15)))))</f>
        <v>14</v>
      </c>
      <c r="D49" s="18" t="str">
        <f>'Settings &amp; Guide'!$I$18</f>
        <v>units</v>
      </c>
      <c r="E49" s="93"/>
      <c r="F49" s="94"/>
      <c r="G49" s="114" t="s">
        <v>4</v>
      </c>
      <c r="H49" s="115"/>
      <c r="I49" s="128">
        <f>IF($C$71=1,"No unique line",IF('Settings &amp; Guide'!$I$16="Nearest",ROUND($C$74,'Settings &amp; Guide'!$I$15),IF('Settings &amp; Guide'!$I$16="Up",ROUNDUP($C$74,'Settings &amp; Guide'!$I$15),ROUNDDOWN($C$74,'Settings &amp; Guide'!$I$15))))</f>
        <v>71.569999999999993</v>
      </c>
      <c r="J49" s="129"/>
      <c r="K49" s="54"/>
    </row>
    <row r="50" spans="1:14" ht="20.149999999999999" customHeight="1">
      <c r="A50" s="5"/>
      <c r="B50" s="34" t="s">
        <v>43</v>
      </c>
      <c r="C50" s="99">
        <f>IF($C$71=1,"No unique line",IF(ABS($C$70)&lt;='Settings &amp; Guide'!$I$19,IF(ABS($C$48-$I$38)&lt;='Settings &amp; Guide'!$I$19,"Any x","No point"),IF(ABS($C$69)&lt;='Settings &amp; Guide'!$I$19,IF('Settings &amp; Guide'!$I$16="Nearest",ROUND($I$37,'Settings &amp; Guide'!$I$15),IF('Settings &amp; Guide'!$I$16="Up",ROUNDUP($I$37,'Settings &amp; Guide'!$I$15),ROUNDDOWN($I$37,'Settings &amp; Guide'!$I$15))),IF('Settings &amp; Guide'!$I$16="Nearest",ROUND(($C$48-$C$78)/$C$72,'Settings &amp; Guide'!$I$15),IF('Settings &amp; Guide'!$I$16="Up",ROUNDUP(($C$48-$C$78)/$C$72,'Settings &amp; Guide'!$I$15),ROUNDDOWN(($C$48-$C$78)/$C$72,'Settings &amp; Guide'!$I$15))))))</f>
        <v>4</v>
      </c>
      <c r="D50" s="18" t="str">
        <f>'Settings &amp; Guide'!$I$18</f>
        <v>units</v>
      </c>
      <c r="E50" s="93"/>
      <c r="F50" s="94"/>
      <c r="G50" s="114" t="s">
        <v>10</v>
      </c>
      <c r="H50" s="115"/>
      <c r="I50" s="128">
        <f>IF(OR($C$71=1,ABS($C$69)&lt;='Settings &amp; Guide'!$I$19),"Undefined",IF('Settings &amp; Guide'!$I$16="Nearest",ROUND($C$80,'Settings &amp; Guide'!$I$15),IF('Settings &amp; Guide'!$I$16="Up",ROUNDUP($C$80,'Settings &amp; Guide'!$I$15),ROUNDDOWN($C$80,'Settings &amp; Guide'!$I$15))))</f>
        <v>300</v>
      </c>
      <c r="J50" s="129"/>
      <c r="K50" s="54"/>
    </row>
    <row r="51" spans="1:14" ht="20.149999999999999" customHeight="1">
      <c r="A51" s="5"/>
      <c r="B51" s="93"/>
      <c r="C51" s="95"/>
      <c r="D51" s="30"/>
      <c r="E51" s="93"/>
      <c r="F51" s="94"/>
      <c r="G51" s="114" t="s">
        <v>11</v>
      </c>
      <c r="H51" s="115"/>
      <c r="I51" s="128" t="str">
        <f>$C$83</f>
        <v>Positive</v>
      </c>
      <c r="J51" s="129"/>
      <c r="K51" s="54"/>
    </row>
    <row r="52" spans="1:14" ht="20.149999999999999" customHeight="1">
      <c r="A52" s="5"/>
      <c r="B52" s="93"/>
      <c r="C52" s="95"/>
      <c r="D52" s="30"/>
      <c r="E52" s="93"/>
      <c r="F52" s="94"/>
      <c r="K52" s="54"/>
    </row>
    <row r="53" spans="1:14" ht="30.75" customHeight="1">
      <c r="A53" s="5"/>
      <c r="B53" s="119" t="s">
        <v>44</v>
      </c>
      <c r="C53" s="120"/>
      <c r="D53" s="120"/>
      <c r="E53" s="120"/>
      <c r="F53" s="120"/>
      <c r="G53" s="120"/>
      <c r="H53" s="120"/>
      <c r="I53" s="120"/>
      <c r="J53" s="120"/>
      <c r="K53" s="53"/>
    </row>
    <row r="54" spans="1:14" ht="20.149999999999999" customHeight="1">
      <c r="A54" s="5"/>
      <c r="B54" s="5"/>
      <c r="C54" s="5"/>
      <c r="D54" s="5"/>
      <c r="E54" s="5"/>
      <c r="F54" s="5"/>
      <c r="G54" s="5"/>
      <c r="K54" s="54"/>
      <c r="L54" s="2"/>
      <c r="M54" s="2"/>
      <c r="N54" s="2"/>
    </row>
    <row r="55" spans="1:14" ht="30" customHeight="1">
      <c r="A55" s="5"/>
      <c r="B55" s="108" t="s">
        <v>232</v>
      </c>
      <c r="C55" s="109"/>
      <c r="D55" s="109"/>
      <c r="E55" s="109"/>
      <c r="F55" s="109"/>
      <c r="G55" s="109"/>
      <c r="H55" s="109"/>
      <c r="I55" s="109"/>
      <c r="J55" s="109"/>
      <c r="K55" s="2"/>
    </row>
    <row r="56" spans="1:14" ht="20.149999999999999" customHeight="1">
      <c r="A56" s="5"/>
      <c r="B56" s="5"/>
      <c r="C56" s="5"/>
      <c r="D56" s="5"/>
      <c r="E56" s="5"/>
      <c r="F56" s="5"/>
      <c r="G56" s="2"/>
      <c r="H56" s="2"/>
      <c r="I56" s="2"/>
      <c r="J56" s="2"/>
      <c r="M56" s="44"/>
      <c r="N56" s="44"/>
    </row>
    <row r="57" spans="1:14" s="52" customFormat="1" ht="30" customHeight="1">
      <c r="A57" s="36"/>
      <c r="B57" s="28" t="s">
        <v>45</v>
      </c>
      <c r="C57" s="38" t="s">
        <v>46</v>
      </c>
      <c r="D57" s="38" t="s">
        <v>47</v>
      </c>
      <c r="E57" s="38" t="s">
        <v>48</v>
      </c>
      <c r="F57" s="38" t="s">
        <v>49</v>
      </c>
      <c r="G57" s="38" t="s">
        <v>50</v>
      </c>
      <c r="H57" s="38" t="s">
        <v>51</v>
      </c>
      <c r="I57" s="38" t="s">
        <v>25</v>
      </c>
      <c r="J57" s="29" t="s">
        <v>52</v>
      </c>
      <c r="M57" s="26"/>
      <c r="N57" s="26"/>
    </row>
    <row r="58" spans="1:14" ht="20.149999999999999" customHeight="1">
      <c r="A58" s="5"/>
      <c r="B58" s="61" t="s">
        <v>53</v>
      </c>
      <c r="C58" s="62">
        <v>3</v>
      </c>
      <c r="D58" s="62">
        <v>8</v>
      </c>
      <c r="E58" s="61">
        <f>D58-$I$38</f>
        <v>6</v>
      </c>
      <c r="F58" s="61">
        <f>C58-$I$37</f>
        <v>2</v>
      </c>
      <c r="G58" s="61">
        <f>IF(AND(ABS(E58)&lt;='Settings &amp; Guide'!$I$19,ABS(F58)&lt;='Settings &amp; Guide'!$I$19),"No line",IF(ABS(F58)&lt;='Settings &amp; Guide'!$I$19,"Undefined",IF('Settings &amp; Guide'!$I$16="Nearest",ROUND(E58/F58,'Settings &amp; Guide'!$I$15),IF('Settings &amp; Guide'!$I$16="Up",ROUNDUP(E58/F58,'Settings &amp; Guide'!$I$15),ROUNDDOWN(E58/F58,'Settings &amp; Guide'!$I$15)))))</f>
        <v>3</v>
      </c>
      <c r="H58" s="63">
        <f>IF(AND(ABS(E58)&lt;='Settings &amp; Guide'!$I$19,ABS(F58)&lt;='Settings &amp; Guide'!$I$19),"No line",IF(ABS(F58)&lt;='Settings &amp; Guide'!$I$19,90,IF('Settings &amp; Guide'!$I$16="Nearest",ROUND(IF('Settings &amp; Guide'!$I$17="Signed -90–90°",DEGREES(ATAN(E58/F58)),MOD(DEGREES(ATAN(E58/F58)),180)),'Settings &amp; Guide'!$I$15),IF('Settings &amp; Guide'!$I$16="Up",ROUNDUP(IF('Settings &amp; Guide'!$I$17="Signed -90–90°",DEGREES(ATAN(E58/F58)),MOD(DEGREES(ATAN(E58/F58)),180)),'Settings &amp; Guide'!$I$15),ROUNDDOWN(IF('Settings &amp; Guide'!$I$17="Signed -90–90°",DEGREES(ATAN(E58/F58)),MOD(DEGREES(ATAN(E58/F58)),180)),'Settings &amp; Guide'!$I$15)))))</f>
        <v>71.569999999999993</v>
      </c>
      <c r="I58" s="61">
        <f>IF('Settings &amp; Guide'!$I$16="Nearest",ROUND(SQRT(E58^2+F58^2),'Settings &amp; Guide'!$I$15),IF('Settings &amp; Guide'!$I$16="Up",ROUNDUP(SQRT(E58^2+F58^2),'Settings &amp; Guide'!$I$15),ROUNDDOWN(SQRT(E58^2+F58^2),'Settings &amp; Guide'!$I$15)))</f>
        <v>6.32</v>
      </c>
      <c r="J58" s="61" t="str">
        <f>IF(AND(ABS(E58)&lt;='Settings &amp; Guide'!$I$19,ABS(F58)&lt;='Settings &amp; Guide'!$I$19),"Degenerate",IF(ABS(F58)&lt;='Settings &amp; Guide'!$I$19,"Vertical",IF(ABS(E58)&lt;='Settings &amp; Guide'!$I$19,"Horizontal",IF(E58/F58&gt;0,"Positive","Negative"))))</f>
        <v>Positive</v>
      </c>
      <c r="M58" s="44"/>
      <c r="N58" s="44"/>
    </row>
    <row r="59" spans="1:14" ht="20.149999999999999" customHeight="1">
      <c r="A59" s="5"/>
      <c r="B59" s="55" t="s">
        <v>54</v>
      </c>
      <c r="C59" s="48">
        <v>3</v>
      </c>
      <c r="D59" s="48">
        <v>12</v>
      </c>
      <c r="E59" s="55">
        <f>D59-$I$38</f>
        <v>10</v>
      </c>
      <c r="F59" s="55">
        <f>C59-$I$37</f>
        <v>2</v>
      </c>
      <c r="G59" s="55">
        <f>IF(AND(ABS(E59)&lt;='Settings &amp; Guide'!$I$19,ABS(F59)&lt;='Settings &amp; Guide'!$I$19),"No line",IF(ABS(F59)&lt;='Settings &amp; Guide'!$I$19,"Undefined",IF('Settings &amp; Guide'!$I$16="Nearest",ROUND(E59/F59,'Settings &amp; Guide'!$I$15),IF('Settings &amp; Guide'!$I$16="Up",ROUNDUP(E59/F59,'Settings &amp; Guide'!$I$15),ROUNDDOWN(E59/F59,'Settings &amp; Guide'!$I$15)))))</f>
        <v>5</v>
      </c>
      <c r="H59" s="56">
        <f>IF(AND(ABS(E59)&lt;='Settings &amp; Guide'!$I$19,ABS(F59)&lt;='Settings &amp; Guide'!$I$19),"No line",IF(ABS(F59)&lt;='Settings &amp; Guide'!$I$19,90,IF('Settings &amp; Guide'!$I$16="Nearest",ROUND(IF('Settings &amp; Guide'!$I$17="Signed -90–90°",DEGREES(ATAN(E59/F59)),MOD(DEGREES(ATAN(E59/F59)),180)),'Settings &amp; Guide'!$I$15),IF('Settings &amp; Guide'!$I$16="Up",ROUNDUP(IF('Settings &amp; Guide'!$I$17="Signed -90–90°",DEGREES(ATAN(E59/F59)),MOD(DEGREES(ATAN(E59/F59)),180)),'Settings &amp; Guide'!$I$15),ROUNDDOWN(IF('Settings &amp; Guide'!$I$17="Signed -90–90°",DEGREES(ATAN(E59/F59)),MOD(DEGREES(ATAN(E59/F59)),180)),'Settings &amp; Guide'!$I$15)))))</f>
        <v>78.69</v>
      </c>
      <c r="I59" s="55">
        <f>IF('Settings &amp; Guide'!$I$16="Nearest",ROUND(SQRT(E59^2+F59^2),'Settings &amp; Guide'!$I$15),IF('Settings &amp; Guide'!$I$16="Up",ROUNDUP(SQRT(E59^2+F59^2),'Settings &amp; Guide'!$I$15),ROUNDDOWN(SQRT(E59^2+F59^2),'Settings &amp; Guide'!$I$15)))</f>
        <v>10.199999999999999</v>
      </c>
      <c r="J59" s="55" t="str">
        <f>IF(AND(ABS(E59)&lt;='Settings &amp; Guide'!$I$19,ABS(F59)&lt;='Settings &amp; Guide'!$I$19),"Degenerate",IF(ABS(F59)&lt;='Settings &amp; Guide'!$I$19,"Vertical",IF(ABS(E59)&lt;='Settings &amp; Guide'!$I$19,"Horizontal",IF(E59/F59&gt;0,"Positive","Negative"))))</f>
        <v>Positive</v>
      </c>
      <c r="M59" s="44"/>
      <c r="N59" s="44"/>
    </row>
    <row r="60" spans="1:14" ht="20.149999999999999" customHeight="1">
      <c r="A60" s="5"/>
      <c r="B60" s="55" t="s">
        <v>55</v>
      </c>
      <c r="C60" s="48">
        <v>5</v>
      </c>
      <c r="D60" s="48">
        <v>6</v>
      </c>
      <c r="E60" s="55">
        <f>D60-$I$38</f>
        <v>4</v>
      </c>
      <c r="F60" s="55">
        <f>C60-$I$37</f>
        <v>4</v>
      </c>
      <c r="G60" s="55">
        <f>IF(AND(ABS(E60)&lt;='Settings &amp; Guide'!$I$19,ABS(F60)&lt;='Settings &amp; Guide'!$I$19),"No line",IF(ABS(F60)&lt;='Settings &amp; Guide'!$I$19,"Undefined",IF('Settings &amp; Guide'!$I$16="Nearest",ROUND(E60/F60,'Settings &amp; Guide'!$I$15),IF('Settings &amp; Guide'!$I$16="Up",ROUNDUP(E60/F60,'Settings &amp; Guide'!$I$15),ROUNDDOWN(E60/F60,'Settings &amp; Guide'!$I$15)))))</f>
        <v>1</v>
      </c>
      <c r="H60" s="56">
        <f>IF(AND(ABS(E60)&lt;='Settings &amp; Guide'!$I$19,ABS(F60)&lt;='Settings &amp; Guide'!$I$19),"No line",IF(ABS(F60)&lt;='Settings &amp; Guide'!$I$19,90,IF('Settings &amp; Guide'!$I$16="Nearest",ROUND(IF('Settings &amp; Guide'!$I$17="Signed -90–90°",DEGREES(ATAN(E60/F60)),MOD(DEGREES(ATAN(E60/F60)),180)),'Settings &amp; Guide'!$I$15),IF('Settings &amp; Guide'!$I$16="Up",ROUNDUP(IF('Settings &amp; Guide'!$I$17="Signed -90–90°",DEGREES(ATAN(E60/F60)),MOD(DEGREES(ATAN(E60/F60)),180)),'Settings &amp; Guide'!$I$15),ROUNDDOWN(IF('Settings &amp; Guide'!$I$17="Signed -90–90°",DEGREES(ATAN(E60/F60)),MOD(DEGREES(ATAN(E60/F60)),180)),'Settings &amp; Guide'!$I$15)))))</f>
        <v>45</v>
      </c>
      <c r="I60" s="55">
        <f>IF('Settings &amp; Guide'!$I$16="Nearest",ROUND(SQRT(E60^2+F60^2),'Settings &amp; Guide'!$I$15),IF('Settings &amp; Guide'!$I$16="Up",ROUNDUP(SQRT(E60^2+F60^2),'Settings &amp; Guide'!$I$15),ROUNDDOWN(SQRT(E60^2+F60^2),'Settings &amp; Guide'!$I$15)))</f>
        <v>5.66</v>
      </c>
      <c r="J60" s="55" t="str">
        <f>IF(AND(ABS(E60)&lt;='Settings &amp; Guide'!$I$19,ABS(F60)&lt;='Settings &amp; Guide'!$I$19),"Degenerate",IF(ABS(F60)&lt;='Settings &amp; Guide'!$I$19,"Vertical",IF(ABS(E60)&lt;='Settings &amp; Guide'!$I$19,"Horizontal",IF(E60/F60&gt;0,"Positive","Negative"))))</f>
        <v>Positive</v>
      </c>
      <c r="M60" s="44"/>
      <c r="N60" s="44"/>
    </row>
    <row r="61" spans="1:14" ht="20.149999999999999" customHeight="1">
      <c r="A61" s="2"/>
      <c r="B61" s="55" t="s">
        <v>56</v>
      </c>
      <c r="C61" s="48">
        <v>4</v>
      </c>
      <c r="D61" s="48">
        <v>-1</v>
      </c>
      <c r="E61" s="55">
        <f>D61-$I$38</f>
        <v>-3</v>
      </c>
      <c r="F61" s="55">
        <f>C61-$I$37</f>
        <v>3</v>
      </c>
      <c r="G61" s="55">
        <f>IF(AND(ABS(E61)&lt;='Settings &amp; Guide'!$I$19,ABS(F61)&lt;='Settings &amp; Guide'!$I$19),"No line",IF(ABS(F61)&lt;='Settings &amp; Guide'!$I$19,"Undefined",IF('Settings &amp; Guide'!$I$16="Nearest",ROUND(E61/F61,'Settings &amp; Guide'!$I$15),IF('Settings &amp; Guide'!$I$16="Up",ROUNDUP(E61/F61,'Settings &amp; Guide'!$I$15),ROUNDDOWN(E61/F61,'Settings &amp; Guide'!$I$15)))))</f>
        <v>-1</v>
      </c>
      <c r="H61" s="56">
        <f>IF(AND(ABS(E61)&lt;='Settings &amp; Guide'!$I$19,ABS(F61)&lt;='Settings &amp; Guide'!$I$19),"No line",IF(ABS(F61)&lt;='Settings &amp; Guide'!$I$19,90,IF('Settings &amp; Guide'!$I$16="Nearest",ROUND(IF('Settings &amp; Guide'!$I$17="Signed -90–90°",DEGREES(ATAN(E61/F61)),MOD(DEGREES(ATAN(E61/F61)),180)),'Settings &amp; Guide'!$I$15),IF('Settings &amp; Guide'!$I$16="Up",ROUNDUP(IF('Settings &amp; Guide'!$I$17="Signed -90–90°",DEGREES(ATAN(E61/F61)),MOD(DEGREES(ATAN(E61/F61)),180)),'Settings &amp; Guide'!$I$15),ROUNDDOWN(IF('Settings &amp; Guide'!$I$17="Signed -90–90°",DEGREES(ATAN(E61/F61)),MOD(DEGREES(ATAN(E61/F61)),180)),'Settings &amp; Guide'!$I$15)))))</f>
        <v>135</v>
      </c>
      <c r="I61" s="55">
        <f>IF('Settings &amp; Guide'!$I$16="Nearest",ROUND(SQRT(E61^2+F61^2),'Settings &amp; Guide'!$I$15),IF('Settings &amp; Guide'!$I$16="Up",ROUNDUP(SQRT(E61^2+F61^2),'Settings &amp; Guide'!$I$15),ROUNDDOWN(SQRT(E61^2+F61^2),'Settings &amp; Guide'!$I$15)))</f>
        <v>4.24</v>
      </c>
      <c r="J61" s="55" t="str">
        <f>IF(AND(ABS(E61)&lt;='Settings &amp; Guide'!$I$19,ABS(F61)&lt;='Settings &amp; Guide'!$I$19),"Degenerate",IF(ABS(F61)&lt;='Settings &amp; Guide'!$I$19,"Vertical",IF(ABS(E61)&lt;='Settings &amp; Guide'!$I$19,"Horizontal",IF(E61/F61&gt;0,"Positive","Negative"))))</f>
        <v>Negative</v>
      </c>
      <c r="K61" s="44"/>
      <c r="L61" s="44"/>
      <c r="M61" s="44"/>
      <c r="N61" s="44"/>
    </row>
    <row r="62" spans="1:14" ht="20.149999999999999" customHeight="1">
      <c r="A62" s="5"/>
      <c r="B62" s="55" t="s">
        <v>57</v>
      </c>
      <c r="C62" s="48">
        <v>1</v>
      </c>
      <c r="D62" s="48">
        <v>7</v>
      </c>
      <c r="E62" s="55">
        <f>D62-$I$38</f>
        <v>5</v>
      </c>
      <c r="F62" s="55">
        <f>C62-$I$37</f>
        <v>0</v>
      </c>
      <c r="G62" s="55" t="str">
        <f>IF(AND(ABS(E62)&lt;='Settings &amp; Guide'!$I$19,ABS(F62)&lt;='Settings &amp; Guide'!$I$19),"No line",IF(ABS(F62)&lt;='Settings &amp; Guide'!$I$19,"Undefined",IF('Settings &amp; Guide'!$I$16="Nearest",ROUND(E62/F62,'Settings &amp; Guide'!$I$15),IF('Settings &amp; Guide'!$I$16="Up",ROUNDUP(E62/F62,'Settings &amp; Guide'!$I$15),ROUNDDOWN(E62/F62,'Settings &amp; Guide'!$I$15)))))</f>
        <v>Undefined</v>
      </c>
      <c r="H62" s="56">
        <f>IF(AND(ABS(E62)&lt;='Settings &amp; Guide'!$I$19,ABS(F62)&lt;='Settings &amp; Guide'!$I$19),"No line",IF(ABS(F62)&lt;='Settings &amp; Guide'!$I$19,90,IF('Settings &amp; Guide'!$I$16="Nearest",ROUND(IF('Settings &amp; Guide'!$I$17="Signed -90–90°",DEGREES(ATAN(E62/F62)),MOD(DEGREES(ATAN(E62/F62)),180)),'Settings &amp; Guide'!$I$15),IF('Settings &amp; Guide'!$I$16="Up",ROUNDUP(IF('Settings &amp; Guide'!$I$17="Signed -90–90°",DEGREES(ATAN(E62/F62)),MOD(DEGREES(ATAN(E62/F62)),180)),'Settings &amp; Guide'!$I$15),ROUNDDOWN(IF('Settings &amp; Guide'!$I$17="Signed -90–90°",DEGREES(ATAN(E62/F62)),MOD(DEGREES(ATAN(E62/F62)),180)),'Settings &amp; Guide'!$I$15)))))</f>
        <v>90</v>
      </c>
      <c r="I62" s="55">
        <f>IF('Settings &amp; Guide'!$I$16="Nearest",ROUND(SQRT(E62^2+F62^2),'Settings &amp; Guide'!$I$15),IF('Settings &amp; Guide'!$I$16="Up",ROUNDUP(SQRT(E62^2+F62^2),'Settings &amp; Guide'!$I$15),ROUNDDOWN(SQRT(E62^2+F62^2),'Settings &amp; Guide'!$I$15)))</f>
        <v>5</v>
      </c>
      <c r="J62" s="55" t="str">
        <f>IF(AND(ABS(E62)&lt;='Settings &amp; Guide'!$I$19,ABS(F62)&lt;='Settings &amp; Guide'!$I$19),"Degenerate",IF(ABS(F62)&lt;='Settings &amp; Guide'!$I$19,"Vertical",IF(ABS(E62)&lt;='Settings &amp; Guide'!$I$19,"Horizontal",IF(E62/F62&gt;0,"Positive","Negative"))))</f>
        <v>Vertical</v>
      </c>
      <c r="K62" s="44"/>
      <c r="L62" s="44"/>
      <c r="M62" s="44"/>
      <c r="N62" s="44"/>
    </row>
    <row r="63" spans="1:14" ht="20.149999999999999" customHeight="1"/>
    <row r="64" spans="1:14" ht="30" customHeight="1">
      <c r="A64" s="5"/>
      <c r="B64" s="119" t="s">
        <v>58</v>
      </c>
      <c r="C64" s="120"/>
      <c r="D64" s="120"/>
      <c r="E64" s="120"/>
      <c r="F64" s="120"/>
      <c r="G64" s="120"/>
      <c r="H64" s="120"/>
      <c r="I64" s="120"/>
      <c r="J64" s="120"/>
      <c r="L64" s="44"/>
      <c r="M64" s="44"/>
      <c r="N64" s="44"/>
    </row>
    <row r="65" spans="1:14" ht="20.149999999999999" customHeight="1"/>
    <row r="66" spans="1:14" ht="30" customHeight="1">
      <c r="A66" s="5"/>
      <c r="B66" s="108" t="s">
        <v>233</v>
      </c>
      <c r="C66" s="109"/>
      <c r="D66" s="109"/>
      <c r="E66" s="109"/>
      <c r="K66" s="2"/>
    </row>
    <row r="67" spans="1:14" ht="20.149999999999999" customHeight="1"/>
    <row r="68" spans="1:14" s="58" customFormat="1" ht="30" customHeight="1">
      <c r="A68" s="57"/>
      <c r="B68" s="64" t="s">
        <v>60</v>
      </c>
      <c r="C68" s="65" t="s">
        <v>61</v>
      </c>
      <c r="D68" s="131" t="s">
        <v>62</v>
      </c>
      <c r="E68" s="132"/>
      <c r="G68" s="64" t="s">
        <v>60</v>
      </c>
      <c r="H68" s="65" t="s">
        <v>61</v>
      </c>
      <c r="I68" s="131" t="s">
        <v>62</v>
      </c>
      <c r="J68" s="132"/>
      <c r="K68" s="57"/>
      <c r="L68" s="57"/>
      <c r="M68" s="59"/>
      <c r="N68" s="59"/>
    </row>
    <row r="69" spans="1:14" ht="30" customHeight="1">
      <c r="A69" s="5"/>
      <c r="B69" s="74" t="s">
        <v>63</v>
      </c>
      <c r="C69" s="61">
        <f>$I$39-$I$37</f>
        <v>2</v>
      </c>
      <c r="D69" s="130" t="s">
        <v>64</v>
      </c>
      <c r="E69" s="130"/>
      <c r="F69" s="44"/>
      <c r="G69" s="75" t="s">
        <v>91</v>
      </c>
      <c r="H69" s="55">
        <f>C70</f>
        <v>6</v>
      </c>
      <c r="I69" s="126" t="s">
        <v>92</v>
      </c>
      <c r="J69" s="126"/>
      <c r="M69" s="2"/>
      <c r="N69" s="2"/>
    </row>
    <row r="70" spans="1:14" ht="30" customHeight="1">
      <c r="A70" s="5"/>
      <c r="B70" s="75" t="s">
        <v>68</v>
      </c>
      <c r="C70" s="55">
        <f>$I$40-$I$38</f>
        <v>6</v>
      </c>
      <c r="D70" s="126" t="s">
        <v>69</v>
      </c>
      <c r="E70" s="126"/>
      <c r="F70" s="44"/>
      <c r="G70" s="75" t="s">
        <v>93</v>
      </c>
      <c r="H70" s="55">
        <f>-C69</f>
        <v>-2</v>
      </c>
      <c r="I70" s="126" t="s">
        <v>94</v>
      </c>
      <c r="J70" s="126"/>
      <c r="M70" s="2"/>
      <c r="N70" s="2"/>
    </row>
    <row r="71" spans="1:14" ht="30" customHeight="1">
      <c r="A71" s="5"/>
      <c r="B71" s="75" t="s">
        <v>70</v>
      </c>
      <c r="C71" s="55">
        <f>IF(AND(ABS(C69)&lt;='Settings &amp; Guide'!$I$19,ABS(C70)&lt;='Settings &amp; Guide'!$I$19),1,0)</f>
        <v>0</v>
      </c>
      <c r="D71" s="126" t="s">
        <v>71</v>
      </c>
      <c r="E71" s="126"/>
      <c r="F71" s="44"/>
      <c r="G71" s="75" t="s">
        <v>95</v>
      </c>
      <c r="H71" s="55">
        <f>C69*$I$38-C70*$I$37</f>
        <v>-2</v>
      </c>
      <c r="I71" s="126" t="s">
        <v>96</v>
      </c>
      <c r="J71" s="126"/>
      <c r="M71" s="2"/>
      <c r="N71" s="2"/>
    </row>
    <row r="72" spans="1:14" ht="30" customHeight="1">
      <c r="A72" s="5"/>
      <c r="B72" s="75" t="s">
        <v>72</v>
      </c>
      <c r="C72" s="55">
        <f>IF(C71=1,"",IF(ABS(C69)&lt;='Settings &amp; Guide'!$I$19,"",C70/C69))</f>
        <v>3</v>
      </c>
      <c r="D72" s="126" t="s">
        <v>73</v>
      </c>
      <c r="E72" s="126"/>
      <c r="F72" s="44"/>
      <c r="G72" s="75" t="s">
        <v>97</v>
      </c>
      <c r="H72" s="55">
        <f>IF(C71=1,0,IF(AND(ABS(H69-ROUND(H69,0))&lt;='Settings &amp; Guide'!$I$19,ABS(H70-ROUND(H70,0))&lt;='Settings &amp; Guide'!$I$19,ABS(H71-ROUND(H71,0))&lt;='Settings &amp; Guide'!$I$19),1,0))</f>
        <v>1</v>
      </c>
      <c r="I72" s="126" t="s">
        <v>98</v>
      </c>
      <c r="J72" s="126"/>
      <c r="M72" s="2"/>
      <c r="N72" s="2"/>
    </row>
    <row r="73" spans="1:14" ht="30" customHeight="1">
      <c r="A73" s="5"/>
      <c r="B73" s="75" t="s">
        <v>74</v>
      </c>
      <c r="C73" s="55">
        <f>IF(C71=1,"",IF(ABS(C69)&lt;='Settings &amp; Guide'!$I$19,90,DEGREES(ATAN(C72))))</f>
        <v>71.56505117707799</v>
      </c>
      <c r="D73" s="126" t="s">
        <v>75</v>
      </c>
      <c r="E73" s="126"/>
      <c r="F73" s="44"/>
      <c r="G73" s="75" t="s">
        <v>99</v>
      </c>
      <c r="H73" s="55">
        <f>IF(C71=1,1,IF(H72=1,MAX(1,GCD(ABS(ROUND(H69,0)),ABS(ROUND(H70,0)),ABS(ROUND(H71,0)))),1))</f>
        <v>2</v>
      </c>
      <c r="I73" s="126" t="s">
        <v>100</v>
      </c>
      <c r="J73" s="126"/>
      <c r="M73" s="2"/>
      <c r="N73" s="2"/>
    </row>
    <row r="74" spans="1:14" ht="30" customHeight="1">
      <c r="A74" s="5"/>
      <c r="B74" s="75" t="s">
        <v>76</v>
      </c>
      <c r="C74" s="55">
        <f>IF(C71=1,"",IF('Settings &amp; Guide'!$I$17="Signed -90–90°",C73,MOD(C73,180)))</f>
        <v>71.56505117707799</v>
      </c>
      <c r="D74" s="126" t="s">
        <v>77</v>
      </c>
      <c r="E74" s="126"/>
      <c r="F74" s="44"/>
      <c r="G74" s="75" t="s">
        <v>101</v>
      </c>
      <c r="H74" s="55">
        <f>IF(C71=1,1,IF(ABS(H69)&gt;'Settings &amp; Guide'!$I$19,IF(H69&lt;0,-1,1),IF(H70&lt;0,-1,1)))</f>
        <v>1</v>
      </c>
      <c r="I74" s="126" t="s">
        <v>102</v>
      </c>
      <c r="J74" s="126"/>
      <c r="M74" s="2"/>
      <c r="N74" s="2"/>
    </row>
    <row r="75" spans="1:14" ht="30" customHeight="1">
      <c r="A75" s="5"/>
      <c r="B75" s="75" t="s">
        <v>25</v>
      </c>
      <c r="C75" s="55">
        <f>SQRT(C69^2+C70^2)</f>
        <v>6.324555320336759</v>
      </c>
      <c r="D75" s="126" t="s">
        <v>78</v>
      </c>
      <c r="E75" s="126"/>
      <c r="F75" s="44"/>
      <c r="G75" s="75" t="s">
        <v>103</v>
      </c>
      <c r="H75" s="55">
        <f>IF(C71=1,"",H69/H73*H74)</f>
        <v>3</v>
      </c>
      <c r="I75" s="126" t="s">
        <v>104</v>
      </c>
      <c r="J75" s="126"/>
      <c r="K75" s="5"/>
      <c r="L75" s="5"/>
      <c r="M75" s="2"/>
      <c r="N75" s="2"/>
    </row>
    <row r="76" spans="1:14" ht="30" customHeight="1">
      <c r="A76" s="5"/>
      <c r="B76" s="75" t="s">
        <v>27</v>
      </c>
      <c r="C76" s="55">
        <f>($I$37+$I$39)/2</f>
        <v>2</v>
      </c>
      <c r="D76" s="126" t="s">
        <v>79</v>
      </c>
      <c r="E76" s="126"/>
      <c r="F76" s="44"/>
      <c r="G76" s="75" t="s">
        <v>105</v>
      </c>
      <c r="H76" s="55">
        <f>IF(C71=1,"",H70/H73*H74)</f>
        <v>-1</v>
      </c>
      <c r="I76" s="126" t="s">
        <v>106</v>
      </c>
      <c r="J76" s="126"/>
      <c r="K76" s="5"/>
      <c r="L76" s="5"/>
      <c r="M76" s="2"/>
      <c r="N76" s="2"/>
    </row>
    <row r="77" spans="1:14" ht="30" customHeight="1">
      <c r="A77" s="5"/>
      <c r="B77" s="75" t="s">
        <v>29</v>
      </c>
      <c r="C77" s="55">
        <f>($I$38+$I$40)/2</f>
        <v>5</v>
      </c>
      <c r="D77" s="126" t="s">
        <v>80</v>
      </c>
      <c r="E77" s="126"/>
      <c r="F77" s="44"/>
      <c r="G77" s="75" t="s">
        <v>107</v>
      </c>
      <c r="H77" s="55">
        <f>IF(C71=1,"",H71/H73*H74)</f>
        <v>-1</v>
      </c>
      <c r="I77" s="126" t="s">
        <v>108</v>
      </c>
      <c r="J77" s="126"/>
      <c r="K77" s="5"/>
      <c r="L77" s="5"/>
      <c r="M77" s="2"/>
      <c r="N77" s="2"/>
    </row>
    <row r="78" spans="1:14" ht="30" customHeight="1">
      <c r="A78" s="5"/>
      <c r="B78" s="75" t="s">
        <v>81</v>
      </c>
      <c r="C78" s="55">
        <f>IF(OR(C71=1,ABS(C69)&lt;='Settings &amp; Guide'!$I$19),"",$I$38-C72*$I$37)</f>
        <v>-1</v>
      </c>
      <c r="D78" s="126" t="s">
        <v>82</v>
      </c>
      <c r="E78" s="126"/>
      <c r="F78" s="44"/>
      <c r="G78" s="75" t="s">
        <v>109</v>
      </c>
      <c r="H78" s="55">
        <f>IF(C71=1,"",H75*$I$37+H76*$I$38+H77)</f>
        <v>0</v>
      </c>
      <c r="I78" s="126" t="s">
        <v>110</v>
      </c>
      <c r="J78" s="126"/>
      <c r="K78" s="5"/>
      <c r="L78" s="5"/>
      <c r="M78" s="2"/>
      <c r="N78" s="2"/>
    </row>
    <row r="79" spans="1:14" ht="30" customHeight="1">
      <c r="A79" s="5"/>
      <c r="B79" s="75" t="s">
        <v>32</v>
      </c>
      <c r="C79" s="55">
        <f>IF(C71=1,"",IF(ABS(C69)&lt;='Settings &amp; Guide'!$I$19,$I$37,IF(ABS(C70)&lt;='Settings &amp; Guide'!$I$19,IF(ABS($I$38)&lt;='Settings &amp; Guide'!$I$19,"ALL",""),-C78/C72)))</f>
        <v>0.33333333333333331</v>
      </c>
      <c r="D79" s="126" t="s">
        <v>83</v>
      </c>
      <c r="E79" s="126"/>
      <c r="F79" s="44"/>
      <c r="G79" s="75" t="s">
        <v>111</v>
      </c>
      <c r="H79" s="55">
        <f>IF(C71=1,"",H75*$I$39+H76*$I$40+H77)</f>
        <v>0</v>
      </c>
      <c r="I79" s="126" t="s">
        <v>110</v>
      </c>
      <c r="J79" s="126"/>
      <c r="K79" s="5"/>
      <c r="L79" s="5"/>
      <c r="M79" s="2"/>
      <c r="N79" s="2"/>
    </row>
    <row r="80" spans="1:14" ht="30" customHeight="1">
      <c r="A80" s="5"/>
      <c r="B80" s="75" t="s">
        <v>84</v>
      </c>
      <c r="C80" s="55">
        <f>IF(OR(C71=1,C72=""),"",C72*100)</f>
        <v>300</v>
      </c>
      <c r="D80" s="126" t="s">
        <v>85</v>
      </c>
      <c r="E80" s="126"/>
      <c r="F80" s="44"/>
      <c r="G80" s="75" t="s">
        <v>112</v>
      </c>
      <c r="H80" s="55">
        <f>SQRT((C76-$I$37)^2+(C77-$I$38)^2)</f>
        <v>3.1622776601683795</v>
      </c>
      <c r="I80" s="126" t="s">
        <v>113</v>
      </c>
      <c r="J80" s="126"/>
      <c r="K80" s="5"/>
      <c r="L80" s="5"/>
      <c r="M80" s="2"/>
      <c r="N80" s="2"/>
    </row>
    <row r="81" spans="1:14" ht="30" customHeight="1">
      <c r="A81" s="5"/>
      <c r="B81" s="75" t="s">
        <v>86</v>
      </c>
      <c r="C81" s="55">
        <f>IF(C75=0,"",C69/C75)</f>
        <v>0.31622776601683794</v>
      </c>
      <c r="D81" s="126" t="s">
        <v>87</v>
      </c>
      <c r="E81" s="126"/>
      <c r="F81" s="44"/>
      <c r="G81" s="75" t="s">
        <v>114</v>
      </c>
      <c r="H81" s="55">
        <f>SQRT((C76-$I$39)^2+(C77-$I$40)^2)</f>
        <v>3.1622776601683795</v>
      </c>
      <c r="I81" s="126" t="s">
        <v>113</v>
      </c>
      <c r="J81" s="126"/>
      <c r="K81" s="5"/>
      <c r="L81" s="5"/>
      <c r="M81" s="2"/>
      <c r="N81" s="2"/>
    </row>
    <row r="82" spans="1:14" ht="30" customHeight="1">
      <c r="A82" s="5"/>
      <c r="B82" s="75" t="s">
        <v>88</v>
      </c>
      <c r="C82" s="55">
        <f>IF(C75=0,"",C70/C75)</f>
        <v>0.94868329805051377</v>
      </c>
      <c r="D82" s="126" t="s">
        <v>87</v>
      </c>
      <c r="E82" s="126"/>
      <c r="F82" s="44"/>
      <c r="G82" s="75" t="s">
        <v>115</v>
      </c>
      <c r="H82" s="55">
        <f>IF(OR(C71=1,ABS(C69)&lt;='Settings &amp; Guide'!$I$19),"",($I$38-$I$40)/($I$37-$I$39))</f>
        <v>3</v>
      </c>
      <c r="I82" s="126" t="s">
        <v>116</v>
      </c>
      <c r="J82" s="126"/>
      <c r="K82" s="5"/>
      <c r="L82" s="5"/>
      <c r="M82" s="2"/>
      <c r="N82" s="2"/>
    </row>
    <row r="83" spans="1:14" ht="30" customHeight="1">
      <c r="A83" s="5"/>
      <c r="B83" s="75" t="s">
        <v>89</v>
      </c>
      <c r="C83" s="55" t="str">
        <f>IF(C71=1,"Degenerate — same point",IF(ABS(C69)&lt;='Settings &amp; Guide'!$I$19,"Undefined / Vertical",IF(ABS(C70)&lt;='Settings &amp; Guide'!$I$19,"Zero / Horizontal",IF(C72&gt;0,"Positive","Negative"))))</f>
        <v>Positive</v>
      </c>
      <c r="D83" s="126" t="s">
        <v>90</v>
      </c>
      <c r="E83" s="126"/>
      <c r="F83" s="44"/>
      <c r="G83" s="75" t="s">
        <v>117</v>
      </c>
      <c r="H83" s="55" t="str">
        <f>IF(C71=1,"INVALID INPUT",IF(ABS(C69)&lt;='Settings &amp; Guide'!$I$19,IF(AND(ABS(H78)&lt;='Settings &amp; Guide'!$I$19*10,ABS(H79)&lt;='Settings &amp; Guide'!$I$19*10,ABS(H80-H81)&lt;='Settings &amp; Guide'!$I$19*10),"PASS","REVIEW"),IF(AND(ABS(H78)&lt;='Settings &amp; Guide'!$I$19*10,ABS(H79)&lt;='Settings &amp; Guide'!$I$19*10,ABS(H80-H81)&lt;='Settings &amp; Guide'!$I$19*10,ABS(C72-H82)&lt;='Settings &amp; Guide'!$I$19*10),"PASS","REVIEW")))</f>
        <v>PASS</v>
      </c>
      <c r="I83" s="126" t="s">
        <v>118</v>
      </c>
      <c r="J83" s="126"/>
      <c r="K83" s="5"/>
      <c r="L83" s="5"/>
      <c r="M83" s="2"/>
      <c r="N83" s="2"/>
    </row>
    <row r="84" spans="1:14" ht="30" customHeight="1">
      <c r="A84" s="5"/>
      <c r="F84" s="44"/>
      <c r="G84" s="2"/>
      <c r="H84" s="5"/>
      <c r="I84" s="5"/>
      <c r="J84" s="5"/>
      <c r="K84" s="5"/>
      <c r="L84" s="5"/>
      <c r="M84" s="2"/>
      <c r="N84" s="2"/>
    </row>
    <row r="85" spans="1:14" ht="30" customHeight="1">
      <c r="A85" s="2"/>
      <c r="B85" s="16" t="s">
        <v>59</v>
      </c>
      <c r="C85" s="44"/>
      <c r="D85" s="44"/>
      <c r="E85" s="44"/>
      <c r="F85" s="44"/>
      <c r="G85" s="44"/>
      <c r="H85" s="44"/>
      <c r="I85" s="44"/>
      <c r="J85" s="44"/>
      <c r="K85" s="44"/>
      <c r="L85" s="44"/>
      <c r="M85" s="44"/>
      <c r="N85" s="44"/>
    </row>
  </sheetData>
  <mergeCells count="81">
    <mergeCell ref="I68:J68"/>
    <mergeCell ref="M6:P6"/>
    <mergeCell ref="I70:J70"/>
    <mergeCell ref="I71:J71"/>
    <mergeCell ref="I72:J72"/>
    <mergeCell ref="B64:J64"/>
    <mergeCell ref="B10:J10"/>
    <mergeCell ref="G46:H46"/>
    <mergeCell ref="G49:H49"/>
    <mergeCell ref="D68:E68"/>
    <mergeCell ref="B66:E66"/>
    <mergeCell ref="B6:J6"/>
    <mergeCell ref="D31:E31"/>
    <mergeCell ref="B12:J12"/>
    <mergeCell ref="D32:E32"/>
    <mergeCell ref="B8:J8"/>
    <mergeCell ref="D77:E77"/>
    <mergeCell ref="D78:E78"/>
    <mergeCell ref="D79:E79"/>
    <mergeCell ref="D74:E74"/>
    <mergeCell ref="I79:J79"/>
    <mergeCell ref="D82:E82"/>
    <mergeCell ref="D83:E83"/>
    <mergeCell ref="I69:J69"/>
    <mergeCell ref="I83:J83"/>
    <mergeCell ref="I74:J74"/>
    <mergeCell ref="I75:J75"/>
    <mergeCell ref="I76:J76"/>
    <mergeCell ref="I77:J77"/>
    <mergeCell ref="I78:J78"/>
    <mergeCell ref="D69:E69"/>
    <mergeCell ref="D70:E70"/>
    <mergeCell ref="D71:E71"/>
    <mergeCell ref="D72:E72"/>
    <mergeCell ref="D73:E73"/>
    <mergeCell ref="I73:J73"/>
    <mergeCell ref="D76:E76"/>
    <mergeCell ref="I80:J80"/>
    <mergeCell ref="I81:J81"/>
    <mergeCell ref="I82:J82"/>
    <mergeCell ref="D75:E75"/>
    <mergeCell ref="G37:H37"/>
    <mergeCell ref="G38:H38"/>
    <mergeCell ref="G39:H39"/>
    <mergeCell ref="G40:H40"/>
    <mergeCell ref="D38:E38"/>
    <mergeCell ref="D39:E39"/>
    <mergeCell ref="D40:E40"/>
    <mergeCell ref="I49:J49"/>
    <mergeCell ref="I50:J50"/>
    <mergeCell ref="I51:J51"/>
    <mergeCell ref="D80:E80"/>
    <mergeCell ref="D81:E81"/>
    <mergeCell ref="D35:E35"/>
    <mergeCell ref="D36:E36"/>
    <mergeCell ref="G51:H51"/>
    <mergeCell ref="D30:E30"/>
    <mergeCell ref="G47:H47"/>
    <mergeCell ref="D37:E37"/>
    <mergeCell ref="G50:H50"/>
    <mergeCell ref="G30:I30"/>
    <mergeCell ref="G31:I31"/>
    <mergeCell ref="G32:I32"/>
    <mergeCell ref="D33:E33"/>
    <mergeCell ref="D34:E34"/>
    <mergeCell ref="B14:F14"/>
    <mergeCell ref="G14:K14"/>
    <mergeCell ref="B55:J55"/>
    <mergeCell ref="B44:D44"/>
    <mergeCell ref="G44:J44"/>
    <mergeCell ref="G28:J28"/>
    <mergeCell ref="B28:E28"/>
    <mergeCell ref="G34:J35"/>
    <mergeCell ref="D41:E41"/>
    <mergeCell ref="D42:E42"/>
    <mergeCell ref="G48:H48"/>
    <mergeCell ref="B46:D46"/>
    <mergeCell ref="B53:J53"/>
    <mergeCell ref="I46:J46"/>
    <mergeCell ref="I47:J47"/>
    <mergeCell ref="I48:J48"/>
  </mergeCells>
  <conditionalFormatting sqref="B6 B10 B12 K64:N64 H83:I83">
    <cfRule type="expression" dxfId="11" priority="34">
      <formula>$H$83="PASS"</formula>
    </cfRule>
    <cfRule type="expression" dxfId="10" priority="35">
      <formula>$H$83="REVIEW"</formula>
    </cfRule>
    <cfRule type="expression" dxfId="9" priority="36">
      <formula>$H$83="INVALID INPUT"</formula>
    </cfRule>
  </conditionalFormatting>
  <conditionalFormatting sqref="J58:J62">
    <cfRule type="expression" dxfId="7" priority="14">
      <formula>J58="Positive"</formula>
    </cfRule>
    <cfRule type="expression" dxfId="6" priority="15">
      <formula>J58="Negative"</formula>
    </cfRule>
    <cfRule type="expression" dxfId="5" priority="16">
      <formula>OR(J58="Vertical",J58="Horizontal")</formula>
    </cfRule>
    <cfRule type="expression" dxfId="4" priority="17">
      <formula>J58="Degenerate"</formula>
    </cfRule>
  </conditionalFormatting>
  <conditionalFormatting sqref="M5:N5 L6:L10 L12:N14">
    <cfRule type="expression" dxfId="3" priority="68">
      <formula>$I$51="Positive"</formula>
    </cfRule>
    <cfRule type="expression" dxfId="2" priority="69">
      <formula>$I$51="Negative"</formula>
    </cfRule>
    <cfRule type="expression" dxfId="1" priority="70">
      <formula>OR($I$51="Zero / Horizontal",$I$51="Undefined / Vertical")</formula>
    </cfRule>
    <cfRule type="expression" dxfId="0" priority="71">
      <formula>$I$51="Degenerate — same point"</formula>
    </cfRule>
  </conditionalFormatting>
  <dataValidations count="3">
    <dataValidation type="decimal" errorTitle="Invalid coordinate" error="Enter a numeric coordinate between -1E12 and 1E12." promptTitle="Coordinate input" prompt="Enter a real-number coordinate. Decimals and negative values are allowed." sqref="I37:I40" xr:uid="{00000000-0002-0000-0100-000000000000}">
      <formula1>-1000000000000</formula1>
      <formula2>1000000000000</formula2>
    </dataValidation>
    <dataValidation type="decimal" allowBlank="1" errorTitle="Invalid target" error="Enter a numeric target between -1E12 and 1E12." sqref="C47:C52" xr:uid="{00000000-0002-0000-0100-000001000000}">
      <formula1>-1000000000000</formula1>
      <formula2>1000000000000</formula2>
    </dataValidation>
    <dataValidation type="decimal" error="Enter a numeric Point 2 coordinate between -1E12 and 1E12." sqref="C58:D62" xr:uid="{00000000-0002-0000-0100-000002000000}">
      <formula1>-1000000000000</formula1>
      <formula2>1000000000000</formula2>
    </dataValidation>
  </dataValidations>
  <hyperlinks>
    <hyperlink ref="J2" r:id="rId1" display="https://dothecalculation.com/" xr:uid="{9F3A3CB1-7BFE-45D6-97AA-9BC5C70D3BD9}"/>
  </hyperlinks>
  <printOptions horizontalCentered="1"/>
  <pageMargins left="0.25" right="0.25" top="0.25" bottom="0.25" header="0" footer="0"/>
  <pageSetup scale="46" fitToHeight="0" orientation="portrait"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4" id="{779B85A1-A405-45AB-A796-522C079F0445}">
            <xm:f>AND(ABS($I$39-$I$37)&lt;='Settings &amp; Guide'!$I$19,ABS($I$40-$I$38)&lt;='Settings &amp; Guide'!$I$19)</xm:f>
            <x14:dxf>
              <fill>
                <patternFill patternType="solid">
                  <fgColor rgb="FFFCE4D6"/>
                </patternFill>
              </fill>
            </x14:dxf>
          </x14:cfRule>
          <xm:sqref>I39:J40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D9C3-5EB9-455D-B19B-55733998ABB3}">
  <dimension ref="A1:N65"/>
  <sheetViews>
    <sheetView zoomScale="80" zoomScaleNormal="80" workbookViewId="0">
      <selection activeCell="I11" sqref="I11"/>
    </sheetView>
  </sheetViews>
  <sheetFormatPr defaultColWidth="9.453125" defaultRowHeight="13.5"/>
  <cols>
    <col min="1" max="1" width="2.54296875" style="82" customWidth="1"/>
    <col min="2" max="2" width="20.54296875" style="82" customWidth="1"/>
    <col min="3" max="3" width="55.1796875" style="82" customWidth="1"/>
    <col min="4" max="10" width="15.6328125" style="82" customWidth="1"/>
    <col min="11" max="14" width="15.26953125" style="82" customWidth="1"/>
    <col min="15" max="16384" width="9.453125" style="82"/>
  </cols>
  <sheetData>
    <row r="1" spans="1:14" s="76" customFormat="1" ht="10" customHeight="1"/>
    <row r="2" spans="1:14" s="77" customFormat="1" ht="50.15" customHeight="1">
      <c r="B2" s="78" t="s">
        <v>236</v>
      </c>
      <c r="C2" s="78"/>
      <c r="D2" s="78"/>
      <c r="E2" s="78"/>
      <c r="F2" s="78"/>
      <c r="G2" s="78"/>
      <c r="H2" s="78"/>
      <c r="I2" s="189" t="e" vm="1">
        <v>#VALUE!</v>
      </c>
      <c r="J2" s="189"/>
      <c r="K2" s="78"/>
      <c r="L2" s="78"/>
      <c r="M2" s="78"/>
      <c r="N2" s="78"/>
    </row>
    <row r="3" spans="1:14" s="80" customFormat="1" ht="20.149999999999999" customHeight="1">
      <c r="A3" s="79"/>
      <c r="B3" s="79" t="s">
        <v>237</v>
      </c>
      <c r="C3" s="79"/>
      <c r="D3" s="79"/>
      <c r="E3" s="79"/>
      <c r="F3" s="79"/>
      <c r="G3" s="79"/>
      <c r="H3" s="79"/>
      <c r="I3" s="189"/>
      <c r="J3" s="189"/>
      <c r="K3" s="79"/>
      <c r="L3" s="79"/>
      <c r="M3" s="79"/>
      <c r="N3" s="79"/>
    </row>
    <row r="4" spans="1:14" ht="20.149999999999999" customHeight="1">
      <c r="A4" s="81"/>
      <c r="B4" s="81"/>
      <c r="C4" s="81"/>
      <c r="D4" s="81"/>
      <c r="E4" s="81"/>
      <c r="F4" s="81"/>
      <c r="G4" s="81"/>
      <c r="H4" s="81"/>
      <c r="I4" s="81"/>
      <c r="J4" s="81"/>
      <c r="K4" s="81"/>
      <c r="L4" s="81"/>
      <c r="M4" s="81"/>
      <c r="N4" s="81"/>
    </row>
    <row r="5" spans="1:14" ht="25" customHeight="1">
      <c r="A5" s="81"/>
      <c r="B5" s="83" t="s">
        <v>238</v>
      </c>
      <c r="C5" s="84" t="s">
        <v>255</v>
      </c>
      <c r="D5" s="81"/>
      <c r="E5" s="81"/>
      <c r="F5" s="81"/>
      <c r="G5" s="81"/>
      <c r="H5" s="81"/>
      <c r="I5" s="81"/>
      <c r="J5" s="81"/>
      <c r="K5" s="81"/>
      <c r="L5" s="81"/>
      <c r="M5" s="81"/>
      <c r="N5" s="81"/>
    </row>
    <row r="6" spans="1:14" ht="25" customHeight="1">
      <c r="A6" s="81"/>
      <c r="B6" s="83" t="s">
        <v>239</v>
      </c>
      <c r="C6" s="85" t="s">
        <v>240</v>
      </c>
      <c r="D6" s="81"/>
      <c r="E6" s="81"/>
      <c r="F6" s="81"/>
      <c r="G6" s="81"/>
      <c r="H6" s="81"/>
      <c r="I6" s="81"/>
      <c r="J6" s="81"/>
      <c r="K6" s="81"/>
      <c r="L6" s="81"/>
      <c r="M6" s="81"/>
      <c r="N6" s="81"/>
    </row>
    <row r="7" spans="1:14" ht="25" customHeight="1">
      <c r="A7" s="81"/>
      <c r="B7" s="83" t="s">
        <v>241</v>
      </c>
      <c r="C7" s="84" t="s">
        <v>242</v>
      </c>
      <c r="D7" s="81"/>
      <c r="E7" s="81"/>
      <c r="F7" s="81"/>
      <c r="G7" s="81"/>
      <c r="H7" s="81"/>
      <c r="I7" s="81"/>
      <c r="J7" s="81"/>
      <c r="K7" s="81"/>
      <c r="L7" s="81"/>
      <c r="M7" s="81"/>
      <c r="N7" s="81"/>
    </row>
    <row r="8" spans="1:14" ht="25" customHeight="1">
      <c r="A8" s="81"/>
      <c r="B8" s="83" t="s">
        <v>243</v>
      </c>
      <c r="C8" s="86" t="s">
        <v>244</v>
      </c>
      <c r="D8" s="81"/>
      <c r="E8" s="81"/>
      <c r="F8" s="81"/>
      <c r="G8" s="81"/>
      <c r="H8" s="81"/>
      <c r="I8" s="81"/>
      <c r="J8" s="81"/>
      <c r="K8" s="81"/>
      <c r="L8" s="81"/>
      <c r="M8" s="81"/>
      <c r="N8" s="81"/>
    </row>
    <row r="9" spans="1:14" ht="25" customHeight="1">
      <c r="A9" s="81"/>
      <c r="B9" s="83" t="s">
        <v>245</v>
      </c>
      <c r="C9" s="85" t="s">
        <v>254</v>
      </c>
      <c r="D9" s="81"/>
      <c r="E9" s="81"/>
      <c r="F9" s="81"/>
      <c r="G9" s="81"/>
      <c r="H9" s="81"/>
      <c r="I9" s="81"/>
      <c r="J9" s="81"/>
      <c r="K9" s="81"/>
      <c r="L9" s="81"/>
      <c r="M9" s="81"/>
      <c r="N9" s="81"/>
    </row>
    <row r="10" spans="1:14" ht="25" customHeight="1">
      <c r="A10" s="81"/>
      <c r="B10" s="83" t="s">
        <v>246</v>
      </c>
      <c r="C10" s="85" t="s">
        <v>247</v>
      </c>
      <c r="D10" s="81"/>
      <c r="E10" s="81"/>
      <c r="F10" s="81"/>
      <c r="G10" s="81"/>
      <c r="H10" s="81"/>
      <c r="I10" s="81"/>
      <c r="J10" s="81"/>
      <c r="K10" s="81"/>
      <c r="L10" s="81"/>
      <c r="M10" s="81"/>
      <c r="N10" s="81"/>
    </row>
    <row r="11" spans="1:14" ht="40" customHeight="1">
      <c r="A11" s="81"/>
      <c r="B11" s="83" t="s">
        <v>248</v>
      </c>
      <c r="C11" s="87" t="s">
        <v>249</v>
      </c>
      <c r="D11" s="81"/>
      <c r="E11" s="81"/>
      <c r="F11" s="81"/>
      <c r="G11" s="81"/>
      <c r="H11" s="81"/>
      <c r="I11" s="81"/>
      <c r="J11" s="81"/>
      <c r="K11" s="81"/>
      <c r="L11" s="81"/>
      <c r="M11" s="81"/>
      <c r="N11" s="81"/>
    </row>
    <row r="12" spans="1:14" ht="20.149999999999999" customHeight="1">
      <c r="A12" s="81"/>
      <c r="B12" s="81"/>
      <c r="C12" s="81"/>
      <c r="D12" s="81"/>
      <c r="E12" s="81"/>
      <c r="F12" s="81"/>
      <c r="G12" s="81"/>
      <c r="H12" s="81"/>
      <c r="I12" s="81"/>
      <c r="J12" s="81"/>
      <c r="K12" s="81"/>
      <c r="L12" s="81"/>
      <c r="M12" s="81"/>
      <c r="N12" s="81"/>
    </row>
    <row r="13" spans="1:14" ht="20.149999999999999" customHeight="1">
      <c r="A13" s="81"/>
      <c r="B13" s="190" t="s">
        <v>250</v>
      </c>
      <c r="C13" s="191"/>
      <c r="D13" s="191"/>
      <c r="E13" s="191"/>
      <c r="F13" s="191"/>
      <c r="G13" s="191"/>
      <c r="H13" s="191"/>
      <c r="I13" s="191"/>
      <c r="J13" s="191"/>
      <c r="K13" s="88"/>
      <c r="L13" s="88"/>
      <c r="M13" s="88"/>
      <c r="N13" s="88"/>
    </row>
    <row r="14" spans="1:14" ht="20.149999999999999" customHeight="1">
      <c r="A14" s="81"/>
      <c r="B14" s="190"/>
      <c r="C14" s="191"/>
      <c r="D14" s="191"/>
      <c r="E14" s="191"/>
      <c r="F14" s="191"/>
      <c r="G14" s="191"/>
      <c r="H14" s="191"/>
      <c r="I14" s="191"/>
      <c r="J14" s="191"/>
      <c r="K14" s="88"/>
      <c r="L14" s="88"/>
      <c r="M14" s="88"/>
      <c r="N14" s="88"/>
    </row>
    <row r="15" spans="1:14" ht="20.149999999999999" customHeight="1">
      <c r="A15" s="81"/>
      <c r="B15" s="81"/>
      <c r="C15" s="81"/>
      <c r="D15" s="81"/>
      <c r="E15" s="81"/>
      <c r="F15" s="81"/>
      <c r="G15" s="81"/>
      <c r="H15" s="81"/>
      <c r="I15" s="81"/>
      <c r="J15" s="81"/>
      <c r="K15" s="81"/>
      <c r="L15" s="81"/>
      <c r="M15" s="81"/>
      <c r="N15" s="81"/>
    </row>
    <row r="16" spans="1:14" ht="20.149999999999999" customHeight="1">
      <c r="A16" s="81"/>
      <c r="B16" s="190" t="s">
        <v>251</v>
      </c>
      <c r="C16" s="191"/>
      <c r="D16" s="191"/>
      <c r="E16" s="191"/>
      <c r="F16" s="191"/>
      <c r="G16" s="191"/>
      <c r="H16" s="191"/>
      <c r="I16" s="191"/>
      <c r="J16" s="191"/>
      <c r="K16" s="89"/>
      <c r="L16" s="89"/>
      <c r="M16" s="89"/>
      <c r="N16" s="89"/>
    </row>
    <row r="17" spans="1:14" ht="20.149999999999999" customHeight="1">
      <c r="A17" s="81"/>
      <c r="B17" s="190"/>
      <c r="C17" s="191"/>
      <c r="D17" s="191"/>
      <c r="E17" s="191"/>
      <c r="F17" s="191"/>
      <c r="G17" s="191"/>
      <c r="H17" s="191"/>
      <c r="I17" s="191"/>
      <c r="J17" s="191"/>
      <c r="K17" s="89"/>
      <c r="L17" s="89"/>
      <c r="M17" s="89"/>
      <c r="N17" s="89"/>
    </row>
    <row r="18" spans="1:14" ht="20.149999999999999" customHeight="1">
      <c r="A18" s="81"/>
      <c r="B18" s="81"/>
      <c r="C18" s="81"/>
      <c r="D18" s="81"/>
      <c r="E18" s="81"/>
      <c r="F18" s="81"/>
      <c r="G18" s="81"/>
      <c r="H18" s="81"/>
      <c r="I18" s="81"/>
      <c r="J18" s="81"/>
      <c r="K18" s="81"/>
      <c r="L18" s="81"/>
      <c r="M18" s="81"/>
      <c r="N18" s="81"/>
    </row>
    <row r="19" spans="1:14" ht="20.149999999999999" customHeight="1">
      <c r="A19" s="81"/>
      <c r="B19" s="190" t="s">
        <v>252</v>
      </c>
      <c r="C19" s="191"/>
      <c r="D19" s="191"/>
      <c r="E19" s="191"/>
      <c r="F19" s="191"/>
      <c r="G19" s="191"/>
      <c r="H19" s="191"/>
      <c r="I19" s="191"/>
      <c r="J19" s="191"/>
      <c r="K19" s="89"/>
      <c r="L19" s="89"/>
      <c r="M19" s="89"/>
      <c r="N19" s="89"/>
    </row>
    <row r="20" spans="1:14" ht="20.149999999999999" customHeight="1">
      <c r="A20" s="81"/>
      <c r="B20" s="190"/>
      <c r="C20" s="191"/>
      <c r="D20" s="191"/>
      <c r="E20" s="191"/>
      <c r="F20" s="191"/>
      <c r="G20" s="191"/>
      <c r="H20" s="191"/>
      <c r="I20" s="191"/>
      <c r="J20" s="191"/>
      <c r="K20" s="89"/>
      <c r="L20" s="89"/>
      <c r="M20" s="89"/>
      <c r="N20" s="89"/>
    </row>
    <row r="21" spans="1:14" ht="20.149999999999999" customHeight="1">
      <c r="A21" s="81"/>
      <c r="C21" s="90"/>
      <c r="D21" s="90"/>
      <c r="E21" s="90"/>
      <c r="F21" s="90"/>
      <c r="G21" s="90"/>
      <c r="H21" s="90"/>
      <c r="I21" s="90"/>
      <c r="J21" s="90"/>
      <c r="K21" s="90"/>
      <c r="L21" s="90"/>
      <c r="M21" s="90"/>
      <c r="N21" s="90"/>
    </row>
    <row r="22" spans="1:14" ht="20.149999999999999" customHeight="1">
      <c r="A22" s="81"/>
      <c r="B22" s="91" t="s">
        <v>253</v>
      </c>
      <c r="C22" s="90"/>
      <c r="D22" s="90"/>
      <c r="E22" s="90"/>
      <c r="F22" s="90"/>
      <c r="G22" s="90"/>
      <c r="H22" s="90"/>
      <c r="I22" s="90"/>
      <c r="J22" s="90"/>
      <c r="K22" s="90"/>
      <c r="L22" s="90"/>
      <c r="M22" s="90"/>
      <c r="N22" s="90"/>
    </row>
    <row r="23" spans="1:14" ht="20.149999999999999" customHeight="1">
      <c r="A23" s="81"/>
      <c r="B23" s="90"/>
      <c r="C23" s="90"/>
      <c r="D23" s="90"/>
      <c r="E23" s="90"/>
      <c r="F23" s="90"/>
      <c r="G23" s="90"/>
      <c r="H23" s="90"/>
      <c r="I23" s="90"/>
      <c r="J23" s="90"/>
      <c r="K23" s="90"/>
      <c r="L23" s="90"/>
      <c r="M23" s="90"/>
      <c r="N23" s="90"/>
    </row>
    <row r="24" spans="1:14" ht="20.149999999999999" customHeight="1">
      <c r="A24" s="81"/>
      <c r="B24" s="81"/>
      <c r="C24" s="81"/>
      <c r="D24" s="81"/>
      <c r="E24" s="81"/>
      <c r="F24" s="81"/>
      <c r="G24" s="81"/>
      <c r="H24" s="81"/>
      <c r="I24" s="81"/>
      <c r="J24" s="81"/>
      <c r="K24" s="81"/>
      <c r="L24" s="81"/>
      <c r="M24" s="81"/>
      <c r="N24" s="81"/>
    </row>
    <row r="25" spans="1:14" ht="20.149999999999999" customHeight="1">
      <c r="A25" s="81"/>
      <c r="B25" s="81"/>
      <c r="C25" s="81"/>
      <c r="D25" s="81"/>
      <c r="E25" s="81"/>
      <c r="F25" s="81"/>
      <c r="G25" s="81"/>
      <c r="H25" s="81"/>
      <c r="I25" s="81"/>
      <c r="J25" s="81"/>
      <c r="K25" s="81"/>
      <c r="L25" s="81"/>
      <c r="M25" s="81"/>
      <c r="N25" s="81"/>
    </row>
    <row r="26" spans="1:14" ht="20.149999999999999" customHeight="1">
      <c r="A26" s="81"/>
      <c r="B26" s="81"/>
      <c r="C26" s="81"/>
      <c r="D26" s="81"/>
      <c r="E26" s="81"/>
      <c r="F26" s="81"/>
      <c r="G26" s="81"/>
      <c r="H26" s="81"/>
      <c r="I26" s="81"/>
      <c r="J26" s="81"/>
      <c r="K26" s="81"/>
      <c r="L26" s="81"/>
      <c r="M26" s="81"/>
      <c r="N26" s="81"/>
    </row>
    <row r="27" spans="1:14" ht="20.149999999999999" customHeight="1">
      <c r="A27" s="81"/>
      <c r="B27" s="81"/>
      <c r="C27" s="81"/>
      <c r="D27" s="81"/>
      <c r="E27" s="81"/>
      <c r="F27" s="81"/>
      <c r="G27" s="81"/>
      <c r="H27" s="81"/>
      <c r="I27" s="81"/>
      <c r="J27" s="81"/>
      <c r="K27" s="81"/>
      <c r="L27" s="81"/>
      <c r="M27" s="81"/>
      <c r="N27" s="81"/>
    </row>
    <row r="28" spans="1:14" ht="20.149999999999999" customHeight="1">
      <c r="A28" s="81"/>
      <c r="B28" s="81"/>
      <c r="C28" s="81"/>
      <c r="D28" s="81"/>
      <c r="E28" s="81"/>
      <c r="F28" s="81"/>
      <c r="G28" s="81"/>
      <c r="H28" s="81"/>
      <c r="I28" s="81"/>
      <c r="J28" s="81"/>
      <c r="K28" s="81"/>
      <c r="L28" s="81"/>
      <c r="M28" s="81"/>
      <c r="N28" s="81"/>
    </row>
    <row r="29" spans="1:14" ht="20.149999999999999" customHeight="1">
      <c r="A29" s="81"/>
      <c r="B29" s="81"/>
      <c r="C29" s="81"/>
      <c r="D29" s="81"/>
      <c r="E29" s="81"/>
      <c r="F29" s="81"/>
      <c r="G29" s="81"/>
      <c r="H29" s="81"/>
      <c r="I29" s="81"/>
      <c r="J29" s="81"/>
      <c r="K29" s="81"/>
      <c r="L29" s="81"/>
      <c r="M29" s="81"/>
      <c r="N29" s="81"/>
    </row>
    <row r="30" spans="1:14" ht="20.149999999999999" customHeight="1">
      <c r="A30" s="81"/>
      <c r="B30" s="81"/>
      <c r="C30" s="81"/>
      <c r="D30" s="81"/>
      <c r="E30" s="81"/>
      <c r="F30" s="81"/>
      <c r="G30" s="81"/>
      <c r="H30" s="81"/>
      <c r="I30" s="81"/>
      <c r="J30" s="81"/>
      <c r="K30" s="81"/>
      <c r="L30" s="81"/>
      <c r="M30" s="81"/>
      <c r="N30" s="81"/>
    </row>
    <row r="31" spans="1:14" ht="20.149999999999999" customHeight="1">
      <c r="A31" s="81"/>
      <c r="B31" s="81"/>
      <c r="C31" s="81"/>
      <c r="D31" s="81"/>
      <c r="E31" s="81"/>
      <c r="F31" s="81"/>
      <c r="G31" s="81"/>
      <c r="H31" s="81"/>
      <c r="I31" s="81"/>
      <c r="J31" s="81"/>
      <c r="K31" s="81"/>
      <c r="L31" s="81"/>
      <c r="M31" s="81"/>
      <c r="N31" s="81"/>
    </row>
    <row r="32" spans="1:14" ht="20.149999999999999" customHeight="1">
      <c r="A32" s="81"/>
      <c r="B32" s="81"/>
      <c r="C32" s="81"/>
      <c r="D32" s="81"/>
      <c r="E32" s="81"/>
      <c r="F32" s="81"/>
      <c r="G32" s="81"/>
      <c r="H32" s="81"/>
      <c r="I32" s="81"/>
      <c r="J32" s="81"/>
      <c r="K32" s="81"/>
      <c r="L32" s="81"/>
      <c r="M32" s="81"/>
      <c r="N32" s="81"/>
    </row>
    <row r="33" spans="1:14" ht="20.149999999999999" customHeight="1">
      <c r="A33" s="81"/>
      <c r="B33" s="81"/>
      <c r="C33" s="81"/>
      <c r="D33" s="81"/>
      <c r="E33" s="81"/>
      <c r="F33" s="81"/>
      <c r="G33" s="81"/>
      <c r="H33" s="81"/>
      <c r="I33" s="81"/>
      <c r="J33" s="81"/>
      <c r="K33" s="81"/>
      <c r="L33" s="81"/>
      <c r="M33" s="81"/>
      <c r="N33" s="81"/>
    </row>
    <row r="34" spans="1:14" ht="20.149999999999999" customHeight="1">
      <c r="A34" s="81"/>
      <c r="B34" s="81"/>
      <c r="C34" s="81"/>
      <c r="D34" s="81"/>
      <c r="E34" s="81"/>
      <c r="F34" s="81"/>
      <c r="G34" s="81"/>
      <c r="H34" s="81"/>
      <c r="I34" s="81"/>
      <c r="J34" s="81"/>
      <c r="K34" s="81"/>
      <c r="L34" s="81"/>
      <c r="M34" s="81"/>
      <c r="N34" s="81"/>
    </row>
    <row r="35" spans="1:14" ht="20.149999999999999" customHeight="1">
      <c r="A35" s="81"/>
      <c r="B35" s="81"/>
      <c r="C35" s="81"/>
      <c r="D35" s="81"/>
      <c r="E35" s="81"/>
      <c r="F35" s="81"/>
      <c r="G35" s="81"/>
      <c r="H35" s="81"/>
      <c r="I35" s="81"/>
      <c r="J35" s="81"/>
      <c r="K35" s="81"/>
      <c r="L35" s="81"/>
      <c r="M35" s="81"/>
      <c r="N35" s="81"/>
    </row>
    <row r="36" spans="1:14" ht="20.149999999999999" customHeight="1">
      <c r="A36" s="81"/>
      <c r="B36" s="81"/>
      <c r="C36" s="81"/>
      <c r="D36" s="81"/>
      <c r="E36" s="81"/>
      <c r="F36" s="81"/>
      <c r="G36" s="81"/>
      <c r="H36" s="81"/>
      <c r="I36" s="81"/>
      <c r="J36" s="81"/>
      <c r="K36" s="81"/>
      <c r="L36" s="81"/>
      <c r="M36" s="81"/>
      <c r="N36" s="81"/>
    </row>
    <row r="37" spans="1:14" ht="20.149999999999999" customHeight="1">
      <c r="A37" s="81"/>
      <c r="B37" s="81"/>
      <c r="C37" s="81"/>
      <c r="D37" s="81"/>
      <c r="E37" s="81"/>
      <c r="F37" s="81"/>
      <c r="G37" s="81"/>
      <c r="H37" s="81"/>
      <c r="I37" s="81"/>
      <c r="J37" s="81"/>
      <c r="K37" s="81"/>
      <c r="L37" s="81"/>
      <c r="M37" s="81"/>
      <c r="N37" s="81"/>
    </row>
    <row r="38" spans="1:14" ht="20.149999999999999" customHeight="1">
      <c r="A38" s="81"/>
      <c r="B38" s="81"/>
      <c r="C38" s="81"/>
      <c r="D38" s="81"/>
      <c r="E38" s="81"/>
      <c r="F38" s="81"/>
      <c r="G38" s="81"/>
      <c r="H38" s="81"/>
      <c r="I38" s="81"/>
      <c r="J38" s="81"/>
      <c r="K38" s="81"/>
      <c r="L38" s="81"/>
      <c r="M38" s="81"/>
      <c r="N38" s="81"/>
    </row>
    <row r="39" spans="1:14" ht="20.149999999999999" customHeight="1">
      <c r="A39" s="81"/>
      <c r="B39" s="81"/>
      <c r="C39" s="81"/>
      <c r="D39" s="81"/>
      <c r="E39" s="81"/>
      <c r="F39" s="81"/>
      <c r="G39" s="81"/>
      <c r="H39" s="81"/>
      <c r="I39" s="81"/>
      <c r="J39" s="81"/>
      <c r="K39" s="81"/>
      <c r="L39" s="81"/>
      <c r="M39" s="81"/>
      <c r="N39" s="81"/>
    </row>
    <row r="40" spans="1:14" ht="20.149999999999999" customHeight="1">
      <c r="A40" s="81"/>
      <c r="B40" s="81"/>
      <c r="C40" s="81"/>
      <c r="D40" s="81"/>
      <c r="E40" s="81"/>
      <c r="F40" s="81"/>
      <c r="G40" s="81"/>
      <c r="H40" s="81"/>
      <c r="I40" s="81"/>
      <c r="J40" s="81"/>
      <c r="K40" s="81"/>
      <c r="L40" s="81"/>
      <c r="M40" s="81"/>
      <c r="N40" s="81"/>
    </row>
    <row r="41" spans="1:14" ht="20.149999999999999" customHeight="1">
      <c r="A41" s="81"/>
      <c r="B41" s="81"/>
      <c r="C41" s="81"/>
      <c r="D41" s="81"/>
      <c r="E41" s="81"/>
      <c r="F41" s="81"/>
      <c r="G41" s="81"/>
      <c r="H41" s="81"/>
      <c r="I41" s="81"/>
      <c r="J41" s="81"/>
      <c r="K41" s="81"/>
      <c r="L41" s="81"/>
      <c r="M41" s="81"/>
      <c r="N41" s="81"/>
    </row>
    <row r="42" spans="1:14" ht="20.149999999999999" customHeight="1">
      <c r="A42" s="81"/>
      <c r="B42" s="81"/>
      <c r="C42" s="81"/>
      <c r="D42" s="81"/>
      <c r="E42" s="81"/>
      <c r="F42" s="81"/>
      <c r="G42" s="81"/>
      <c r="H42" s="81"/>
      <c r="I42" s="81"/>
      <c r="J42" s="81"/>
      <c r="K42" s="81"/>
      <c r="L42" s="81"/>
      <c r="M42" s="81"/>
      <c r="N42" s="81"/>
    </row>
    <row r="43" spans="1:14" ht="20.149999999999999" customHeight="1">
      <c r="A43" s="81"/>
      <c r="B43" s="81"/>
      <c r="C43" s="81"/>
      <c r="D43" s="81"/>
      <c r="E43" s="81"/>
      <c r="F43" s="81"/>
      <c r="G43" s="81"/>
      <c r="H43" s="81"/>
      <c r="I43" s="81"/>
      <c r="J43" s="81"/>
      <c r="K43" s="81"/>
      <c r="L43" s="81"/>
      <c r="M43" s="81"/>
      <c r="N43" s="81"/>
    </row>
    <row r="44" spans="1:14" ht="20.149999999999999" customHeight="1">
      <c r="A44" s="81"/>
      <c r="B44" s="81"/>
      <c r="C44" s="81"/>
      <c r="D44" s="81"/>
      <c r="E44" s="81"/>
      <c r="F44" s="81"/>
      <c r="G44" s="81"/>
      <c r="H44" s="81"/>
      <c r="I44" s="81"/>
      <c r="J44" s="81"/>
      <c r="K44" s="81"/>
      <c r="L44" s="81"/>
      <c r="M44" s="81"/>
      <c r="N44" s="81"/>
    </row>
    <row r="45" spans="1:14" ht="20.149999999999999" customHeight="1">
      <c r="A45" s="81"/>
      <c r="B45" s="81"/>
      <c r="C45" s="81"/>
      <c r="D45" s="81"/>
      <c r="E45" s="81"/>
      <c r="F45" s="81"/>
      <c r="G45" s="81"/>
      <c r="H45" s="81"/>
      <c r="I45" s="81"/>
      <c r="J45" s="81"/>
      <c r="K45" s="81"/>
      <c r="L45" s="81"/>
      <c r="M45" s="81"/>
      <c r="N45" s="81"/>
    </row>
    <row r="46" spans="1:14" ht="20.149999999999999" customHeight="1">
      <c r="A46" s="81"/>
      <c r="B46" s="81"/>
      <c r="C46" s="81"/>
      <c r="D46" s="81"/>
      <c r="E46" s="81"/>
      <c r="F46" s="81"/>
      <c r="G46" s="81"/>
      <c r="H46" s="81"/>
      <c r="I46" s="81"/>
      <c r="J46" s="81"/>
      <c r="K46" s="81"/>
      <c r="L46" s="81"/>
      <c r="M46" s="81"/>
      <c r="N46" s="81"/>
    </row>
    <row r="47" spans="1:14" ht="20.149999999999999" customHeight="1">
      <c r="A47" s="81"/>
      <c r="B47" s="81"/>
      <c r="C47" s="81"/>
      <c r="D47" s="81"/>
      <c r="E47" s="81"/>
      <c r="F47" s="81"/>
      <c r="G47" s="81"/>
      <c r="H47" s="81"/>
      <c r="I47" s="81"/>
      <c r="J47" s="81"/>
      <c r="K47" s="81"/>
      <c r="L47" s="81"/>
      <c r="M47" s="81"/>
      <c r="N47" s="81"/>
    </row>
    <row r="48" spans="1:14" ht="20.149999999999999" customHeight="1">
      <c r="A48" s="81"/>
      <c r="B48" s="81"/>
      <c r="C48" s="81"/>
      <c r="D48" s="81"/>
      <c r="E48" s="81"/>
      <c r="F48" s="81"/>
      <c r="G48" s="81"/>
      <c r="H48" s="81"/>
      <c r="I48" s="81"/>
      <c r="J48" s="81"/>
      <c r="K48" s="81"/>
      <c r="L48" s="81"/>
      <c r="M48" s="81"/>
      <c r="N48" s="81"/>
    </row>
    <row r="49" spans="1:14" ht="20.149999999999999" customHeight="1">
      <c r="A49" s="81"/>
      <c r="B49" s="81"/>
      <c r="C49" s="81"/>
      <c r="D49" s="81"/>
      <c r="E49" s="81"/>
      <c r="F49" s="81"/>
      <c r="G49" s="81"/>
      <c r="H49" s="81"/>
      <c r="I49" s="81"/>
      <c r="J49" s="81"/>
      <c r="K49" s="81"/>
      <c r="L49" s="81"/>
      <c r="M49" s="81"/>
      <c r="N49" s="81"/>
    </row>
    <row r="50" spans="1:14" ht="20.149999999999999" customHeight="1">
      <c r="A50" s="81"/>
      <c r="B50" s="81"/>
      <c r="C50" s="81"/>
      <c r="D50" s="81"/>
      <c r="E50" s="81"/>
      <c r="F50" s="81"/>
      <c r="G50" s="81"/>
      <c r="H50" s="81"/>
      <c r="I50" s="81"/>
      <c r="J50" s="81"/>
      <c r="K50" s="81"/>
      <c r="L50" s="81"/>
      <c r="M50" s="81"/>
      <c r="N50" s="81"/>
    </row>
    <row r="51" spans="1:14" ht="20.149999999999999" customHeight="1">
      <c r="A51" s="81"/>
      <c r="B51" s="81"/>
      <c r="C51" s="81"/>
      <c r="D51" s="81"/>
      <c r="E51" s="81"/>
      <c r="F51" s="81"/>
      <c r="G51" s="81"/>
      <c r="H51" s="81"/>
      <c r="I51" s="81"/>
      <c r="J51" s="81"/>
      <c r="K51" s="81"/>
      <c r="L51" s="81"/>
      <c r="M51" s="81"/>
      <c r="N51" s="81"/>
    </row>
    <row r="52" spans="1:14" ht="20.149999999999999" customHeight="1">
      <c r="A52" s="81"/>
      <c r="B52" s="81"/>
      <c r="C52" s="81"/>
      <c r="D52" s="81"/>
      <c r="E52" s="81"/>
      <c r="F52" s="81"/>
      <c r="G52" s="81"/>
      <c r="H52" s="81"/>
      <c r="I52" s="81"/>
      <c r="J52" s="81"/>
      <c r="K52" s="81"/>
      <c r="L52" s="81"/>
      <c r="M52" s="81"/>
      <c r="N52" s="81"/>
    </row>
    <row r="53" spans="1:14" ht="20.149999999999999" customHeight="1">
      <c r="A53" s="81"/>
      <c r="B53" s="81"/>
      <c r="C53" s="81"/>
      <c r="D53" s="81"/>
      <c r="E53" s="81"/>
      <c r="F53" s="81"/>
      <c r="G53" s="81"/>
      <c r="H53" s="81"/>
      <c r="I53" s="81"/>
      <c r="J53" s="81"/>
      <c r="K53" s="81"/>
      <c r="L53" s="81"/>
      <c r="M53" s="81"/>
      <c r="N53" s="81"/>
    </row>
    <row r="54" spans="1:14" ht="20.149999999999999" customHeight="1">
      <c r="A54" s="81"/>
      <c r="B54" s="81"/>
      <c r="C54" s="81"/>
      <c r="D54" s="81"/>
      <c r="E54" s="81"/>
      <c r="F54" s="81"/>
      <c r="G54" s="81"/>
      <c r="H54" s="81"/>
      <c r="I54" s="81"/>
      <c r="J54" s="81"/>
      <c r="K54" s="81"/>
      <c r="L54" s="81"/>
      <c r="M54" s="81"/>
      <c r="N54" s="81"/>
    </row>
    <row r="55" spans="1:14" ht="20.149999999999999" customHeight="1">
      <c r="A55" s="81"/>
      <c r="B55" s="81"/>
      <c r="C55" s="81"/>
      <c r="D55" s="81"/>
      <c r="E55" s="81"/>
      <c r="F55" s="81"/>
      <c r="G55" s="81"/>
      <c r="H55" s="81"/>
      <c r="I55" s="81"/>
      <c r="J55" s="81"/>
      <c r="K55" s="81"/>
      <c r="L55" s="81"/>
      <c r="M55" s="81"/>
      <c r="N55" s="81"/>
    </row>
    <row r="56" spans="1:14" ht="20.149999999999999" customHeight="1">
      <c r="A56" s="81"/>
      <c r="B56" s="81"/>
      <c r="C56" s="81"/>
      <c r="D56" s="81"/>
      <c r="E56" s="81"/>
      <c r="F56" s="81"/>
      <c r="G56" s="81"/>
      <c r="H56" s="81"/>
      <c r="I56" s="81"/>
      <c r="J56" s="81"/>
      <c r="K56" s="81"/>
      <c r="L56" s="81"/>
      <c r="M56" s="81"/>
      <c r="N56" s="81"/>
    </row>
    <row r="57" spans="1:14" ht="20.149999999999999" customHeight="1">
      <c r="A57" s="81"/>
      <c r="B57" s="81"/>
      <c r="C57" s="81"/>
      <c r="D57" s="81"/>
      <c r="E57" s="81"/>
      <c r="F57" s="81"/>
      <c r="G57" s="81"/>
      <c r="H57" s="81"/>
      <c r="I57" s="81"/>
      <c r="J57" s="81"/>
      <c r="K57" s="81"/>
      <c r="L57" s="81"/>
      <c r="M57" s="81"/>
      <c r="N57" s="81"/>
    </row>
    <row r="58" spans="1:14" ht="20.149999999999999" customHeight="1">
      <c r="A58" s="81"/>
      <c r="B58" s="81"/>
      <c r="C58" s="81"/>
      <c r="D58" s="81"/>
      <c r="E58" s="81"/>
      <c r="F58" s="81"/>
      <c r="G58" s="81"/>
      <c r="H58" s="81"/>
      <c r="I58" s="81"/>
      <c r="J58" s="81"/>
      <c r="K58" s="81"/>
      <c r="L58" s="81"/>
      <c r="M58" s="81"/>
      <c r="N58" s="81"/>
    </row>
    <row r="59" spans="1:14" ht="20.149999999999999" customHeight="1">
      <c r="A59" s="81"/>
      <c r="B59" s="81"/>
      <c r="C59" s="81"/>
      <c r="D59" s="81"/>
      <c r="E59" s="81"/>
      <c r="F59" s="81"/>
      <c r="G59" s="81"/>
      <c r="H59" s="81"/>
      <c r="I59" s="81"/>
      <c r="J59" s="81"/>
      <c r="K59" s="81"/>
      <c r="L59" s="81"/>
      <c r="M59" s="81"/>
      <c r="N59" s="81"/>
    </row>
    <row r="60" spans="1:14" ht="20.149999999999999" customHeight="1">
      <c r="A60" s="81"/>
      <c r="B60" s="81"/>
      <c r="C60" s="81"/>
      <c r="D60" s="81"/>
      <c r="E60" s="81"/>
      <c r="F60" s="81"/>
      <c r="G60" s="81"/>
      <c r="H60" s="81"/>
      <c r="I60" s="81"/>
      <c r="J60" s="81"/>
      <c r="K60" s="81"/>
      <c r="L60" s="81"/>
      <c r="M60" s="81"/>
      <c r="N60" s="81"/>
    </row>
    <row r="61" spans="1:14" ht="20.149999999999999" customHeight="1">
      <c r="A61" s="81"/>
      <c r="B61" s="81"/>
      <c r="C61" s="81"/>
      <c r="D61" s="81"/>
      <c r="E61" s="81"/>
      <c r="F61" s="81"/>
      <c r="G61" s="81"/>
      <c r="H61" s="81"/>
      <c r="I61" s="81"/>
      <c r="J61" s="81"/>
      <c r="K61" s="81"/>
      <c r="L61" s="81"/>
      <c r="M61" s="81"/>
      <c r="N61" s="81"/>
    </row>
    <row r="62" spans="1:14" ht="20.149999999999999" customHeight="1">
      <c r="A62" s="81"/>
      <c r="B62" s="81"/>
      <c r="C62" s="81"/>
      <c r="D62" s="81"/>
      <c r="E62" s="81"/>
      <c r="F62" s="81"/>
      <c r="G62" s="81"/>
      <c r="H62" s="81"/>
      <c r="I62" s="81"/>
      <c r="J62" s="81"/>
      <c r="K62" s="81"/>
      <c r="L62" s="81"/>
      <c r="M62" s="81"/>
      <c r="N62" s="81"/>
    </row>
    <row r="63" spans="1:14" ht="20.149999999999999" customHeight="1">
      <c r="A63" s="81"/>
      <c r="B63" s="81"/>
      <c r="C63" s="81"/>
      <c r="D63" s="81"/>
      <c r="E63" s="81"/>
      <c r="F63" s="81"/>
      <c r="G63" s="81"/>
      <c r="H63" s="81"/>
      <c r="I63" s="81"/>
      <c r="J63" s="81"/>
      <c r="K63" s="81"/>
      <c r="L63" s="81"/>
      <c r="M63" s="81"/>
      <c r="N63" s="81"/>
    </row>
    <row r="64" spans="1:14" ht="20.149999999999999" customHeight="1">
      <c r="A64" s="81"/>
      <c r="B64" s="81"/>
      <c r="C64" s="81"/>
      <c r="D64" s="81"/>
      <c r="E64" s="81"/>
      <c r="G64" s="81"/>
      <c r="H64" s="81"/>
      <c r="I64" s="81"/>
      <c r="J64" s="81"/>
      <c r="K64" s="81"/>
      <c r="L64" s="81"/>
      <c r="M64" s="81"/>
      <c r="N64" s="81"/>
    </row>
    <row r="65" spans="1:14" ht="20.149999999999999" customHeight="1">
      <c r="A65" s="81"/>
      <c r="B65" s="81"/>
      <c r="C65" s="81"/>
      <c r="D65" s="81"/>
      <c r="E65" s="81"/>
      <c r="F65" s="81"/>
      <c r="G65" s="81"/>
      <c r="H65" s="81"/>
      <c r="I65" s="81"/>
      <c r="J65" s="81"/>
      <c r="K65" s="81"/>
      <c r="L65" s="81"/>
      <c r="M65" s="81"/>
      <c r="N65" s="81"/>
    </row>
  </sheetData>
  <mergeCells count="4">
    <mergeCell ref="I2:J3"/>
    <mergeCell ref="B13:J14"/>
    <mergeCell ref="B16:J17"/>
    <mergeCell ref="B19:J20"/>
  </mergeCells>
  <hyperlinks>
    <hyperlink ref="C8" r:id="rId1" xr:uid="{40B5B500-C047-4A10-BC23-DAE17F10CD1E}"/>
    <hyperlink ref="C7" r:id="rId2" xr:uid="{189DFFB1-9128-445D-A5FB-8033464657FE}"/>
    <hyperlink ref="B13:J14" r:id="rId3" display="Usage note: This free website version is designed for personal budgeting, household planning, freelancer cash flow review, and beginner-friendly annual budget tracking. You may edit categories and sample data for your own planning needs." xr:uid="{E6ABC249-AD79-4AA4-905D-4D2F041F70DF}"/>
    <hyperlink ref="B16:J17" r:id="rId4" display="Disclaimer: This spreadsheet template is provided for general planning and informational purposes only. It does not constitute financial, legal, tax, investment, or professional advice. Users should review their own financial situation and consult a qualified professional where necessary." xr:uid="{CB4F2954-53E7-436B-B36C-51FE0DD94C8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Settings &amp; Guide</vt:lpstr>
      <vt:lpstr>Main Calculator</vt:lpstr>
      <vt:lpstr>About</vt:lpstr>
      <vt:lpstr>AngleOptions</vt:lpstr>
      <vt:lpstr>'Main Calculator'!Print_Area</vt:lpstr>
      <vt:lpstr>'Settings &amp; Guide'!Print_Area</vt:lpstr>
      <vt:lpstr>RoundingOptions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Sheharyar Shahid</cp:lastModifiedBy>
  <cp:lastPrinted>2026-08-26T14:17:20Z</cp:lastPrinted>
  <dcterms:created xsi:type="dcterms:W3CDTF">2026-08-20T21:44:39Z</dcterms:created>
  <dcterms:modified xsi:type="dcterms:W3CDTF">2026-08-26T14:22:28Z</dcterms:modified>
</cp:coreProperties>
</file>